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Masias\Desktop\Masias\Bootstrapped and Lean\"/>
    </mc:Choice>
  </mc:AlternateContent>
  <xr:revisionPtr revIDLastSave="0" documentId="13_ncr:1_{771FE35F-8A99-4C45-81BB-F33C93D87ABF}" xr6:coauthVersionLast="47" xr6:coauthVersionMax="47" xr10:uidLastSave="{00000000-0000-0000-0000-000000000000}"/>
  <bookViews>
    <workbookView xWindow="-120" yWindow="-120" windowWidth="29040" windowHeight="15840" xr2:uid="{C4DA3603-C1D9-475D-B9E4-D1B3D14CD55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5" i="1" l="1"/>
  <c r="B112" i="1"/>
  <c r="B111" i="1"/>
  <c r="B110" i="1"/>
  <c r="B109" i="1"/>
  <c r="B108" i="1"/>
  <c r="B107" i="1"/>
  <c r="B106" i="1"/>
  <c r="B105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N93" i="1"/>
  <c r="M93" i="1"/>
  <c r="L93" i="1"/>
  <c r="K93" i="1"/>
  <c r="J93" i="1"/>
  <c r="I93" i="1"/>
  <c r="H93" i="1"/>
  <c r="G93" i="1"/>
  <c r="F93" i="1"/>
  <c r="E93" i="1"/>
  <c r="D93" i="1"/>
  <c r="C93" i="1"/>
  <c r="O92" i="1"/>
  <c r="O91" i="1"/>
  <c r="O90" i="1"/>
  <c r="O89" i="1"/>
  <c r="O88" i="1"/>
  <c r="O87" i="1"/>
  <c r="O86" i="1"/>
  <c r="N83" i="1"/>
  <c r="M83" i="1"/>
  <c r="L83" i="1"/>
  <c r="K83" i="1"/>
  <c r="J83" i="1"/>
  <c r="I83" i="1"/>
  <c r="H83" i="1"/>
  <c r="G83" i="1"/>
  <c r="F83" i="1"/>
  <c r="E83" i="1"/>
  <c r="D83" i="1"/>
  <c r="C83" i="1"/>
  <c r="O82" i="1"/>
  <c r="O81" i="1"/>
  <c r="O80" i="1"/>
  <c r="O79" i="1"/>
  <c r="O83" i="1" s="1"/>
  <c r="C111" i="1" s="1"/>
  <c r="N76" i="1"/>
  <c r="M76" i="1"/>
  <c r="L76" i="1"/>
  <c r="K76" i="1"/>
  <c r="J76" i="1"/>
  <c r="I76" i="1"/>
  <c r="H76" i="1"/>
  <c r="G76" i="1"/>
  <c r="F76" i="1"/>
  <c r="E76" i="1"/>
  <c r="D76" i="1"/>
  <c r="C76" i="1"/>
  <c r="O75" i="1"/>
  <c r="O74" i="1"/>
  <c r="O73" i="1"/>
  <c r="O72" i="1"/>
  <c r="O71" i="1"/>
  <c r="O70" i="1"/>
  <c r="O69" i="1"/>
  <c r="O68" i="1"/>
  <c r="N65" i="1"/>
  <c r="M65" i="1"/>
  <c r="L65" i="1"/>
  <c r="K65" i="1"/>
  <c r="J65" i="1"/>
  <c r="I65" i="1"/>
  <c r="H65" i="1"/>
  <c r="G65" i="1"/>
  <c r="F65" i="1"/>
  <c r="E65" i="1"/>
  <c r="D65" i="1"/>
  <c r="C65" i="1"/>
  <c r="O64" i="1"/>
  <c r="O63" i="1"/>
  <c r="O62" i="1"/>
  <c r="O61" i="1"/>
  <c r="O60" i="1"/>
  <c r="O59" i="1"/>
  <c r="O58" i="1"/>
  <c r="O57" i="1"/>
  <c r="N54" i="1"/>
  <c r="M54" i="1"/>
  <c r="L54" i="1"/>
  <c r="K54" i="1"/>
  <c r="J54" i="1"/>
  <c r="I54" i="1"/>
  <c r="H54" i="1"/>
  <c r="G54" i="1"/>
  <c r="F54" i="1"/>
  <c r="E54" i="1"/>
  <c r="D54" i="1"/>
  <c r="C54" i="1"/>
  <c r="O53" i="1"/>
  <c r="O52" i="1"/>
  <c r="O51" i="1"/>
  <c r="O50" i="1"/>
  <c r="O49" i="1"/>
  <c r="O48" i="1"/>
  <c r="O54" i="1" s="1"/>
  <c r="C108" i="1" s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O43" i="1"/>
  <c r="O42" i="1"/>
  <c r="O41" i="1"/>
  <c r="O40" i="1"/>
  <c r="O39" i="1"/>
  <c r="O38" i="1"/>
  <c r="O37" i="1"/>
  <c r="O45" i="1" s="1"/>
  <c r="C107" i="1" s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O32" i="1"/>
  <c r="O31" i="1"/>
  <c r="O30" i="1"/>
  <c r="O29" i="1"/>
  <c r="O28" i="1"/>
  <c r="O27" i="1"/>
  <c r="O26" i="1"/>
  <c r="O34" i="1" s="1"/>
  <c r="C106" i="1" s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O21" i="1"/>
  <c r="O20" i="1"/>
  <c r="O19" i="1"/>
  <c r="O18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O9" i="1"/>
  <c r="O8" i="1"/>
  <c r="O7" i="1"/>
  <c r="O11" i="1" s="1"/>
  <c r="O76" i="1" l="1"/>
  <c r="C110" i="1" s="1"/>
  <c r="D110" i="1" s="1"/>
  <c r="G101" i="1"/>
  <c r="G102" i="1" s="1"/>
  <c r="O65" i="1"/>
  <c r="C109" i="1" s="1"/>
  <c r="D109" i="1" s="1"/>
  <c r="F101" i="1"/>
  <c r="F102" i="1" s="1"/>
  <c r="N101" i="1"/>
  <c r="N102" i="1" s="1"/>
  <c r="M101" i="1"/>
  <c r="M102" i="1" s="1"/>
  <c r="E101" i="1"/>
  <c r="E102" i="1" s="1"/>
  <c r="L101" i="1"/>
  <c r="L102" i="1" s="1"/>
  <c r="K101" i="1"/>
  <c r="K102" i="1" s="1"/>
  <c r="J101" i="1"/>
  <c r="J102" i="1" s="1"/>
  <c r="I101" i="1"/>
  <c r="I102" i="1" s="1"/>
  <c r="H101" i="1"/>
  <c r="H102" i="1" s="1"/>
  <c r="D101" i="1"/>
  <c r="D102" i="1" s="1"/>
  <c r="O23" i="1"/>
  <c r="D105" i="1" s="1"/>
  <c r="D111" i="1"/>
  <c r="D107" i="1"/>
  <c r="D106" i="1"/>
  <c r="C101" i="1"/>
  <c r="O93" i="1"/>
  <c r="C112" i="1" s="1"/>
  <c r="D112" i="1" s="1"/>
  <c r="D108" i="1"/>
  <c r="O100" i="1"/>
  <c r="O101" i="1" l="1"/>
  <c r="O102" i="1" s="1"/>
  <c r="D113" i="1"/>
  <c r="C113" i="1"/>
  <c r="C102" i="1"/>
</calcChain>
</file>

<file path=xl/sharedStrings.xml><?xml version="1.0" encoding="utf-8"?>
<sst xmlns="http://schemas.openxmlformats.org/spreadsheetml/2006/main" count="222" uniqueCount="82">
  <si>
    <t>Income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</si>
  <si>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</si>
  <si>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</si>
  <si>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</si>
  <si>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</si>
  <si>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</si>
  <si>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</si>
  <si>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</si>
  <si>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</si>
  <si>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</si>
  <si>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</si>
  <si>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</si>
  <si>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</si>
  <si>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</si>
  <si>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Salary</t>
  </si>
  <si>
    <t>Bonus</t>
  </si>
  <si>
    <t>Investments</t>
  </si>
  <si>
    <t>Other</t>
  </si>
  <si>
    <t>Expenses</t>
  </si>
  <si>
    <t>Home Expenses</t>
  </si>
  <si>
    <t>Rent/Mortgage</t>
  </si>
  <si>
    <t>Home Insurance</t>
  </si>
  <si>
    <t>Maintenance</t>
  </si>
  <si>
    <t>Property Taxes</t>
  </si>
  <si>
    <t>Transportation</t>
  </si>
  <si>
    <t>Car Payments</t>
  </si>
  <si>
    <t>License &amp; Registration</t>
  </si>
  <si>
    <t>Car Insurance</t>
  </si>
  <si>
    <t>Fuel</t>
  </si>
  <si>
    <t>Bus/Transit Pass</t>
  </si>
  <si>
    <t>Taxi &amp; Ride Shares</t>
  </si>
  <si>
    <t>Utilities</t>
  </si>
  <si>
    <t>Electricity</t>
  </si>
  <si>
    <t>Gas/Heating Oil</t>
  </si>
  <si>
    <t>Telephone</t>
  </si>
  <si>
    <t>Cell Phones</t>
  </si>
  <si>
    <t>Internet</t>
  </si>
  <si>
    <t>Television</t>
  </si>
  <si>
    <t>Water</t>
  </si>
  <si>
    <t>Medical</t>
  </si>
  <si>
    <t>Health Insurance</t>
  </si>
  <si>
    <t>Dental</t>
  </si>
  <si>
    <t>Prescriptions</t>
  </si>
  <si>
    <t>Glasses &amp; Contacts</t>
  </si>
  <si>
    <t>Life Insurance</t>
  </si>
  <si>
    <t>Financial</t>
  </si>
  <si>
    <t>Bank Fees</t>
  </si>
  <si>
    <t>Interest Payments</t>
  </si>
  <si>
    <t>Debt Repayment</t>
  </si>
  <si>
    <t>Credit Card Repayment</t>
  </si>
  <si>
    <t>Emergency Fund Savings</t>
  </si>
  <si>
    <t>Retirement Savings</t>
  </si>
  <si>
    <t>Income Taxes Due</t>
  </si>
  <si>
    <t>Enjoyment</t>
  </si>
  <si>
    <t>Gifts</t>
  </si>
  <si>
    <t>Entertainment</t>
  </si>
  <si>
    <t>Vacations</t>
  </si>
  <si>
    <t>Pets</t>
  </si>
  <si>
    <t>Hobbies</t>
  </si>
  <si>
    <t>Restaurants</t>
  </si>
  <si>
    <t>Holiday Expenses</t>
  </si>
  <si>
    <t>Routine Expenses</t>
  </si>
  <si>
    <t>Groceries</t>
  </si>
  <si>
    <t>Clothing</t>
  </si>
  <si>
    <t>Hair &amp; Personal Care</t>
  </si>
  <si>
    <t>Family</t>
  </si>
  <si>
    <t>Childcare</t>
  </si>
  <si>
    <t>School Supplies</t>
  </si>
  <si>
    <t>Tuition</t>
  </si>
  <si>
    <t>Books</t>
  </si>
  <si>
    <t>Activities</t>
  </si>
  <si>
    <t>Allowance</t>
  </si>
  <si>
    <t>Totals &amp; Summary</t>
  </si>
  <si>
    <t>Monthly and yearly totals of your income and expenses are shown here. Negative values (expenses greater than income) are highlighted in red.</t>
  </si>
  <si>
    <t>Totals</t>
  </si>
  <si>
    <t>Difference</t>
  </si>
  <si>
    <t>Category</t>
  </si>
  <si>
    <t>% of Income</t>
  </si>
  <si>
    <t>Bootstrapped and Lean</t>
  </si>
  <si>
    <t>Annual Budget Planner</t>
  </si>
  <si>
    <t>For each month, enter your net income – make sure the number is after taxes and deductions.</t>
  </si>
  <si>
    <t>Enter your monthly expenses for each category. Some will be the same each month, while others will be different throughout the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</si>
</sst>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.00;[Red]&quot;$&quot;#,##0.00"/>
  </numFmts>
  <fonts count="4" x14ac:knownFonts="1">
    <font>
      <sz val="11"/>
      <color theme="1"/>
      <name val="Calibri"/>
      <family val="2"/>
      <scheme val="minor"/>
    </font>
    <font>
      <b/>
      <u/>
      <sz val="24"/>
      <name val="Calibri"/>
      <family val="2"/>
      <scheme val="minor"/>
    </font>
    <font>
      <b/>
      <sz val="16"/>
      <name val="Calibri"/>
      <family val="2"/>
      <scheme val="minor"/>
    </font>
    <font>
      <sz val="48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 applyFont="1"/>
    <xf numFmtId="164" fontId="1" fillId="0" borderId="0" xfId="0" applyNumberFormat="1" applyFont="1"/>
    <xf numFmtId="164" fontId="2" fillId="0" borderId="0" xfId="0" applyNumberFormat="1" applyFont="1"/>
    <xf numFmtId="0" fontId="0" fillId="0" borderId="0" xfId="0" applyFont="1"/>
    <xf numFmtId="165" fontId="0" fillId="0" borderId="0" xfId="0" applyNumberFormat="1" applyFont="1"/>
    <xf numFmtId="4" fontId="0" fillId="0" borderId="0" xfId="0" applyNumberFormat="1" applyFont="1"/>
    <xf numFmtId="10" fontId="0" fillId="0" borderId="0" xfId="0" applyNumberFormat="1" applyFont="1"/>
    <xf numFmtId="164" fontId="0" fillId="4" borderId="0" xfId="0" applyNumberFormat="1" applyFont="1" applyFill="1"/>
    <xf numFmtId="164" fontId="0" fillId="4" borderId="0" xfId="0" applyNumberFormat="1" applyFont="1" applyFill="1" applyAlignment="1">
      <alignment horizontal="left"/>
    </xf>
    <xf numFmtId="164" fontId="0" fillId="2" borderId="0" xfId="0" applyNumberFormat="1" applyFont="1" applyFill="1"/>
    <xf numFmtId="164" fontId="0" fillId="2" borderId="0" xfId="0" applyNumberFormat="1" applyFont="1" applyFill="1" applyAlignment="1">
      <alignment horizontal="left"/>
    </xf>
    <xf numFmtId="164" fontId="0" fillId="3" borderId="0" xfId="0" applyNumberFormat="1" applyFont="1" applyFill="1"/>
    <xf numFmtId="164" fontId="0" fillId="5" borderId="0" xfId="0" applyNumberFormat="1" applyFont="1" applyFill="1"/>
    <xf numFmtId="10" fontId="0" fillId="5" borderId="0" xfId="0" applyNumberFormat="1" applyFont="1" applyFill="1"/>
    <xf numFmtId="164" fontId="3" fillId="0" borderId="0" xfId="0" applyNumberFormat="1" applyFont="1" applyAlignment="1">
      <alignment horizontal="right"/>
    </xf>
  </cellXfs>
  <cellStyles count="1">
    <cellStyle name="Normal" xfId="0" builtinId="0"/>
  </cellStyles>
  <dxfs count="3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7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rgb="FF00B0F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rgb="FF92D05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rgb="FF92D05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rgb="FF92D05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rgb="FF92D05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rgb="FF92D05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rgb="FF92D05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rgb="FF92D05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rgb="FF92D05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  <numFmt numFmtId="4" formatCode="#,##0.00"/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  <numFmt numFmtId="4" formatCode="#,##0.00"/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strike val="0"/>
        <outline val="0"/>
        <shadow val="0"/>
        <vertAlign val="baseline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u/>
      </font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color theme="0"/>
      </font>
      <fill>
        <patternFill>
          <bgColor rgb="FF00B0F0"/>
        </patternFill>
      </fill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u/>
      </font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color theme="1"/>
      </font>
      <fill>
        <patternFill>
          <bgColor rgb="FF92D050"/>
        </patternFill>
      </fill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u/>
      </font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color theme="0"/>
      </font>
      <fill>
        <patternFill>
          <bgColor rgb="FFE663BD"/>
        </patternFill>
      </fill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u/>
      </font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color theme="1"/>
      </font>
      <fill>
        <patternFill>
          <bgColor rgb="FFFBF83D"/>
        </patternFill>
      </fill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4" defaultTableStyle="TableStyleMedium2" defaultPivotStyle="PivotStyleLight16">
    <tableStyle name="Squawkfox - Category" pivot="0" count="6" xr9:uid="{D5A2B5CD-C6AD-439B-AE9E-F5BD20D62FED}">
      <tableStyleElement type="wholeTable" dxfId="345"/>
      <tableStyleElement type="headerRow" dxfId="344"/>
      <tableStyleElement type="totalRow" dxfId="343"/>
      <tableStyleElement type="firstColumn" dxfId="342"/>
      <tableStyleElement type="lastColumn" dxfId="341"/>
      <tableStyleElement type="firstHeaderCell" dxfId="340"/>
    </tableStyle>
    <tableStyle name="Squawkfox - Income" pivot="0" count="6" xr9:uid="{FDE8E84E-B975-4913-B2E0-1171CE0B99A3}">
      <tableStyleElement type="wholeTable" dxfId="339"/>
      <tableStyleElement type="headerRow" dxfId="338"/>
      <tableStyleElement type="totalRow" dxfId="337"/>
      <tableStyleElement type="firstColumn" dxfId="336"/>
      <tableStyleElement type="lastColumn" dxfId="335"/>
      <tableStyleElement type="firstHeaderCell" dxfId="334"/>
    </tableStyle>
    <tableStyle name="Squawkfox - Summaries" pivot="0" count="6" xr9:uid="{CF76819C-9568-4DF1-835E-1DE7E9C25115}">
      <tableStyleElement type="wholeTable" dxfId="333"/>
      <tableStyleElement type="headerRow" dxfId="332"/>
      <tableStyleElement type="totalRow" dxfId="331"/>
      <tableStyleElement type="firstColumn" dxfId="330"/>
      <tableStyleElement type="lastColumn" dxfId="329"/>
      <tableStyleElement type="firstHeaderCell" dxfId="328"/>
    </tableStyle>
    <tableStyle name="Squawkfox Expenses" pivot="0" count="6" xr9:uid="{34C9038F-42C0-474D-9BAC-D04DD56B330A}">
      <tableStyleElement type="wholeTable" dxfId="327"/>
      <tableStyleElement type="headerRow" dxfId="326"/>
      <tableStyleElement type="totalRow" dxfId="325"/>
      <tableStyleElement type="firstColumn" dxfId="324"/>
      <tableStyleElement type="lastColumn" dxfId="323"/>
      <tableStyleElement type="firstHeaderCell" dxfId="3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Monthly Income vs. Expenses</a:t>
            </a:r>
          </a:p>
          <a:p>
            <a:pPr algn="l">
              <a:defRPr b="1"/>
            </a:pPr>
            <a:r>
              <a:rPr lang="en-US" b="0"/>
              <a:t>For</a:t>
            </a:r>
            <a:r>
              <a:rPr lang="en-US" b="0" baseline="0"/>
              <a:t> each month, this shows your total income and expenses,</a:t>
            </a:r>
          </a:p>
          <a:p>
            <a:pPr algn="l">
              <a:defRPr b="1"/>
            </a:pPr>
            <a:r>
              <a:rPr lang="en-US" b="0" baseline="0"/>
              <a:t>and a line indicating the difference between the two.</a:t>
            </a:r>
            <a:endParaRPr lang="en-US" b="0"/>
          </a:p>
        </c:rich>
      </c:tx>
      <c:layout>
        <c:manualLayout>
          <c:xMode val="edge"/>
          <c:yMode val="edge"/>
          <c:x val="1.44472361809045E-2"/>
          <c:y val="2.05479452054793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'[1]Yearly Budget'!$B$100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'[1]Yearly Budget'!$C$99:$N$99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'[1]Yearly Budget'!$C$100:$N$100</c:f>
              <c:numCache>
                <c:formatCode>"$"#,##0.00</c:formatCode>
                <c:ptCount val="12"/>
                <c:pt idx="0">
                  <c:v>5000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5000</c:v>
                </c:pt>
                <c:pt idx="7">
                  <c:v>5000</c:v>
                </c:pt>
                <c:pt idx="8">
                  <c:v>5000</c:v>
                </c:pt>
                <c:pt idx="9">
                  <c:v>5000</c:v>
                </c:pt>
                <c:pt idx="10">
                  <c:v>5000</c:v>
                </c:pt>
                <c:pt idx="11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A-49D0-90B3-5AFA37360410}"/>
            </c:ext>
          </c:extLst>
        </c:ser>
        <c:ser>
          <c:idx val="1"/>
          <c:order val="1"/>
          <c:tx>
            <c:strRef>
              <c:f>'[1]Yearly Budget'!$B$101</c:f>
              <c:strCache>
                <c:ptCount val="1"/>
                <c:pt idx="0">
                  <c:v>Expenses</c:v>
                </c:pt>
              </c:strCache>
            </c:strRef>
          </c:tx>
          <c:spPr>
            <a:solidFill>
              <a:srgbClr val="60C6E1"/>
            </a:solidFill>
            <a:ln>
              <a:noFill/>
            </a:ln>
            <a:effectLst/>
          </c:spPr>
          <c:invertIfNegative val="0"/>
          <c:cat>
            <c:strRef>
              <c:f>'[1]Yearly Budget'!$C$99:$N$99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'[1]Yearly Budget'!$C$101:$N$101</c:f>
              <c:numCache>
                <c:formatCode>#,##0.00</c:formatCode>
                <c:ptCount val="12"/>
                <c:pt idx="0">
                  <c:v>-3400</c:v>
                </c:pt>
                <c:pt idx="1">
                  <c:v>-3400</c:v>
                </c:pt>
                <c:pt idx="2">
                  <c:v>-3400</c:v>
                </c:pt>
                <c:pt idx="3">
                  <c:v>-3400</c:v>
                </c:pt>
                <c:pt idx="4">
                  <c:v>-3400</c:v>
                </c:pt>
                <c:pt idx="5">
                  <c:v>-3400</c:v>
                </c:pt>
                <c:pt idx="6">
                  <c:v>-3400</c:v>
                </c:pt>
                <c:pt idx="7">
                  <c:v>-3400</c:v>
                </c:pt>
                <c:pt idx="8">
                  <c:v>-3400</c:v>
                </c:pt>
                <c:pt idx="9">
                  <c:v>-3400</c:v>
                </c:pt>
                <c:pt idx="10">
                  <c:v>-3400</c:v>
                </c:pt>
                <c:pt idx="11">
                  <c:v>-3400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CA-49D0-90B3-5AFA37360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43459792"/>
        <c:axId val="-2143456176"/>
      </c:barChart>
      <c:lineChart>
        <c:grouping val="standard"/>
        <c:varyColors val="0"/>
        <c:ser>
          <c:idx val="2"/>
          <c:order val="2"/>
          <c:tx>
            <c:strRef>
              <c:f>'[1]Yearly Budget'!$B$102</c:f>
              <c:strCache>
                <c:ptCount val="1"/>
                <c:pt idx="0">
                  <c:v>Difference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'[1]Yearly Budget'!$C$99:$N$99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'[1]Yearly Budget'!$C$102:$N$102</c:f>
              <c:numCache>
                <c:formatCode>#,##0.00</c:formatCode>
                <c:ptCount val="12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1600</c:v>
                </c:pt>
                <c:pt idx="5">
                  <c:v>1600</c:v>
                </c:pt>
                <c:pt idx="6">
                  <c:v>1600</c:v>
                </c:pt>
                <c:pt idx="7">
                  <c:v>1600</c:v>
                </c:pt>
                <c:pt idx="8">
                  <c:v>1600</c:v>
                </c:pt>
                <c:pt idx="9">
                  <c:v>1600</c:v>
                </c:pt>
                <c:pt idx="10">
                  <c:v>1600</c:v>
                </c:pt>
                <c:pt idx="11">
                  <c:v>1600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CA-49D0-90B3-5AFA37360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3459792"/>
        <c:axId val="-2143456176"/>
      </c:lineChart>
      <c:catAx>
        <c:axId val="-214345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3456176"/>
        <c:crosses val="autoZero"/>
        <c:auto val="1"/>
        <c:lblAlgn val="ctr"/>
        <c:lblOffset val="100"/>
        <c:noMultiLvlLbl val="0"/>
      </c:catAx>
      <c:valAx>
        <c:axId val="-214345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345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0"/>
          <a:lstStyle/>
          <a:p>
            <a:pPr algn="l"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Expense Breakdown</a:t>
            </a:r>
          </a:p>
          <a:p>
            <a:pPr algn="l">
              <a:defRPr/>
            </a:pPr>
            <a:r>
              <a:rPr lang="en-US" sz="1400" b="0"/>
              <a:t>Money by category and</a:t>
            </a:r>
            <a:r>
              <a:rPr lang="en-US" sz="1400" b="0" baseline="0"/>
              <a:t> percentage annually</a:t>
            </a:r>
            <a:endParaRPr lang="en-US" sz="1400" b="0"/>
          </a:p>
        </c:rich>
      </c:tx>
      <c:layout>
        <c:manualLayout>
          <c:xMode val="edge"/>
          <c:yMode val="edge"/>
          <c:x val="1.7056603773584901E-2"/>
          <c:y val="3.1578947368420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 algn="l"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Sheet1!$C$104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23-439E-A247-A962DAE8688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623-439E-A247-A962DAE8688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623-439E-A247-A962DAE8688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623-439E-A247-A962DAE8688D}"/>
              </c:ext>
            </c:extLst>
          </c:dPt>
          <c:dPt>
            <c:idx val="4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623-439E-A247-A962DAE8688D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623-439E-A247-A962DAE8688D}"/>
              </c:ext>
            </c:extLst>
          </c:dPt>
          <c:dPt>
            <c:idx val="6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623-439E-A247-A962DAE8688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623-439E-A247-A962DAE8688D}"/>
              </c:ext>
            </c:extLst>
          </c:dPt>
          <c:dLbls>
            <c:dLbl>
              <c:idx val="3"/>
              <c:layout>
                <c:manualLayout>
                  <c:x val="1.0062893081761001E-2"/>
                  <c:y val="2.105263157894579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23-439E-A247-A962DAE868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Sheet1!$B$105:$B$112</c:f>
              <c:strCache>
                <c:ptCount val="8"/>
                <c:pt idx="0">
                  <c:v>Home Expenses</c:v>
                </c:pt>
                <c:pt idx="1">
                  <c:v>Transportation</c:v>
                </c:pt>
                <c:pt idx="2">
                  <c:v>Utilities</c:v>
                </c:pt>
                <c:pt idx="3">
                  <c:v>Medical</c:v>
                </c:pt>
                <c:pt idx="4">
                  <c:v>Financial</c:v>
                </c:pt>
                <c:pt idx="5">
                  <c:v>Enjoyment</c:v>
                </c:pt>
                <c:pt idx="6">
                  <c:v>Routine Expenses</c:v>
                </c:pt>
                <c:pt idx="7">
                  <c:v>Family</c:v>
                </c:pt>
              </c:strCache>
            </c:strRef>
          </c:cat>
          <c:val>
            <c:numRef>
              <c:f>Sheet1!$C$105:$C$112</c:f>
              <c:numCache>
                <c:formatCode>"$"#,##0.00</c:formatCode>
                <c:ptCount val="8"/>
                <c:pt idx="0">
                  <c:v>31200</c:v>
                </c:pt>
                <c:pt idx="1">
                  <c:v>2400</c:v>
                </c:pt>
                <c:pt idx="2">
                  <c:v>1200</c:v>
                </c:pt>
                <c:pt idx="3">
                  <c:v>600</c:v>
                </c:pt>
                <c:pt idx="4">
                  <c:v>1200</c:v>
                </c:pt>
                <c:pt idx="5">
                  <c:v>1200</c:v>
                </c:pt>
                <c:pt idx="6">
                  <c:v>2400</c:v>
                </c:pt>
                <c:pt idx="7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623-439E-A247-A962DAE8688D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154</xdr:row>
      <xdr:rowOff>101600</xdr:rowOff>
    </xdr:from>
    <xdr:to>
      <xdr:col>10</xdr:col>
      <xdr:colOff>469900</xdr:colOff>
      <xdr:row>188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461810-3605-4F40-8692-6A94FA1EF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115</xdr:row>
      <xdr:rowOff>139700</xdr:rowOff>
    </xdr:from>
    <xdr:to>
      <xdr:col>10</xdr:col>
      <xdr:colOff>469900</xdr:colOff>
      <xdr:row>152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69017B0-B936-4B91-86F0-2C71ED4713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mesMasias/Desktop/Masias/Blog/squawkfox-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ly Budget"/>
    </sheetNames>
    <sheetDataSet>
      <sheetData sheetId="0">
        <row r="99">
          <cell r="C99" t="str">
            <v>Jan</v>
          </cell>
          <cell r="D99" t="str">
            <v>Feb</v>
          </cell>
          <cell r="E99" t="str">
            <v>Mar</v>
          </cell>
          <cell r="F99" t="str">
            <v>Apr</v>
          </cell>
          <cell r="G99" t="str">
            <v>May</v>
          </cell>
          <cell r="H99" t="str">
            <v>Jun</v>
          </cell>
          <cell r="I99" t="str">
            <v>Jul</v>
          </cell>
          <cell r="J99" t="str">
            <v>Aug</v>
          </cell>
          <cell r="K99" t="str">
            <v>Sep</v>
          </cell>
          <cell r="L99" t="str">
            <v>Oct</v>
          </cell>
          <cell r="M99" t="str">
            <v>Nov</v>
          </cell>
          <cell r="N99" t="str">
            <v>Dec</v>
          </cell>
        </row>
        <row r="100">
          <cell r="B100" t="str">
            <v>Income</v>
          </cell>
          <cell r="C100">
            <v>5000</v>
          </cell>
          <cell r="D100">
            <v>5000</v>
          </cell>
          <cell r="E100">
            <v>5000</v>
          </cell>
          <cell r="F100">
            <v>5000</v>
          </cell>
          <cell r="G100">
            <v>5000</v>
          </cell>
          <cell r="H100">
            <v>5000</v>
          </cell>
          <cell r="I100">
            <v>5000</v>
          </cell>
          <cell r="J100">
            <v>5000</v>
          </cell>
          <cell r="K100">
            <v>5000</v>
          </cell>
          <cell r="L100">
            <v>5000</v>
          </cell>
          <cell r="M100">
            <v>5000</v>
          </cell>
          <cell r="N100">
            <v>5000</v>
          </cell>
        </row>
        <row r="101">
          <cell r="B101" t="str">
            <v>Expenses</v>
          </cell>
          <cell r="C101">
            <v>-3400</v>
          </cell>
          <cell r="D101">
            <v>-3400</v>
          </cell>
          <cell r="E101">
            <v>-3400</v>
          </cell>
          <cell r="F101">
            <v>-3400</v>
          </cell>
          <cell r="G101">
            <v>-3400</v>
          </cell>
          <cell r="H101">
            <v>-3400</v>
          </cell>
          <cell r="I101">
            <v>-3400</v>
          </cell>
          <cell r="J101">
            <v>-3400</v>
          </cell>
          <cell r="K101">
            <v>-3400</v>
          </cell>
          <cell r="L101">
            <v>-3400</v>
          </cell>
          <cell r="M101">
            <v>-3400</v>
          </cell>
          <cell r="N101">
            <v>-3400</v>
          </cell>
        </row>
        <row r="102">
          <cell r="B102" t="str">
            <v>Difference</v>
          </cell>
          <cell r="C102">
            <v>1600</v>
          </cell>
          <cell r="D102">
            <v>1600</v>
          </cell>
          <cell r="E102">
            <v>1600</v>
          </cell>
          <cell r="F102">
            <v>1600</v>
          </cell>
          <cell r="G102">
            <v>1600</v>
          </cell>
          <cell r="H102">
            <v>1600</v>
          </cell>
          <cell r="I102">
            <v>1600</v>
          </cell>
          <cell r="J102">
            <v>1600</v>
          </cell>
          <cell r="K102">
            <v>1600</v>
          </cell>
          <cell r="L102">
            <v>1600</v>
          </cell>
          <cell r="M102">
            <v>1600</v>
          </cell>
          <cell r="N102">
            <v>1600</v>
          </cell>
        </row>
        <row r="104">
          <cell r="C104" t="str">
            <v>Total</v>
          </cell>
        </row>
        <row r="105">
          <cell r="B105" t="str">
            <v>Home Expenses</v>
          </cell>
          <cell r="C105">
            <v>31200</v>
          </cell>
        </row>
        <row r="106">
          <cell r="B106" t="str">
            <v>Transportation</v>
          </cell>
          <cell r="C106">
            <v>2400</v>
          </cell>
        </row>
        <row r="107">
          <cell r="B107" t="str">
            <v>Utilities</v>
          </cell>
          <cell r="C107">
            <v>1200</v>
          </cell>
        </row>
        <row r="108">
          <cell r="B108" t="str">
            <v>Medical</v>
          </cell>
          <cell r="C108">
            <v>600</v>
          </cell>
        </row>
        <row r="109">
          <cell r="B109" t="str">
            <v>Financial</v>
          </cell>
          <cell r="C109">
            <v>1200</v>
          </cell>
        </row>
        <row r="110">
          <cell r="B110" t="str">
            <v>Enjoyment</v>
          </cell>
          <cell r="C110">
            <v>1200</v>
          </cell>
        </row>
        <row r="111">
          <cell r="B111" t="str">
            <v>Routine Expenses</v>
          </cell>
          <cell r="C111">
            <v>2400</v>
          </cell>
        </row>
        <row r="112">
          <cell r="B112" t="str">
            <v>Family</v>
          </cell>
          <cell r="C112">
            <v>600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C0D538-5D2F-4782-82FF-86B088B3433C}" name="Income" displayName="Income" ref="B6:O11" totalsRowCount="1" headerRowDxfId="251" dataDxfId="303" totalsRowDxfId="304">
  <autoFilter ref="B6:O10" xr:uid="{34C0D538-5D2F-4782-82FF-86B088B3433C}"/>
  <tableColumns count="14">
    <tableColumn id="1" xr3:uid="{7B08EEDD-BBCB-4A2A-8BC8-C35A2C31A0D1}" name="Income" totalsRowLabel="Total" dataDxfId="318" totalsRowDxfId="16"/>
    <tableColumn id="2" xr3:uid="{26BB3929-1FA8-434C-A428-AE8380374659}" name="Jan" totalsRowFunction="sum" dataDxfId="317" totalsRowDxfId="15"/>
    <tableColumn id="3" xr3:uid="{B6BEB28F-AFBF-4CD3-9C5F-4B7EE2230BCC}" name="Feb" totalsRowFunction="sum" dataDxfId="316" totalsRowDxfId="14"/>
    <tableColumn id="4" xr3:uid="{19FA09A7-7854-441A-A957-5728CF517267}" name="Mar" totalsRowFunction="sum" dataDxfId="315" totalsRowDxfId="13"/>
    <tableColumn id="5" xr3:uid="{06C46370-3E3F-4577-A587-75D8BDE87FF6}" name="Apr" totalsRowFunction="sum" dataDxfId="314" totalsRowDxfId="12"/>
    <tableColumn id="6" xr3:uid="{729A6E84-7219-4CC4-AE41-A766F7EE1214}" name="May" totalsRowFunction="sum" dataDxfId="313" totalsRowDxfId="11"/>
    <tableColumn id="7" xr3:uid="{24520D27-208D-4B3C-A686-CF9CF62D9EC3}" name="Jun" totalsRowFunction="sum" dataDxfId="312" totalsRowDxfId="10"/>
    <tableColumn id="8" xr3:uid="{55C4BC06-F50D-4D3D-A47F-060AC6897BCF}" name="Jul" totalsRowFunction="sum" dataDxfId="311" totalsRowDxfId="9"/>
    <tableColumn id="9" xr3:uid="{6747C3A1-28D9-4554-9AB3-4EAE0937B9E6}" name="Aug" totalsRowFunction="sum" dataDxfId="310" totalsRowDxfId="8"/>
    <tableColumn id="10" xr3:uid="{241B50EA-B589-4C35-BF92-45A17665E3B1}" name="Sep" totalsRowFunction="sum" dataDxfId="309" totalsRowDxfId="7"/>
    <tableColumn id="11" xr3:uid="{EE551D81-42A9-4950-B628-CBFAA2AA061E}" name="Oct" totalsRowFunction="sum" dataDxfId="308" totalsRowDxfId="6"/>
    <tableColumn id="12" xr3:uid="{1FB97178-D3E2-42F2-BF11-3A116AE3758D}" name="Nov" totalsRowFunction="sum" dataDxfId="307" totalsRowDxfId="5"/>
    <tableColumn id="13" xr3:uid="{73FAE647-28F8-46E1-A8DA-05E2F92DDD90}" name="Dec" totalsRowFunction="sum" dataDxfId="306" totalsRowDxfId="4"/>
    <tableColumn id="14" xr3:uid="{8A86C4BD-1903-4C48-9BA0-13E0559ED77F}" name="Total" totalsRowFunction="sum" dataDxfId="305" totalsRowDxfId="3">
      <calculatedColumnFormula>SUM(C7:N7)</calculatedColumnFormula>
    </tableColumn>
  </tableColumns>
  <tableStyleInfo name="Squawkfox - Summaries" showFirstColumn="1" showLastColumn="1" showRowStripes="1" showColumnStripes="1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87E8518-235B-4F79-B1EE-3DB82386A1FA}" name="Totals" displayName="Totals" ref="B99:O102" totalsRowCount="1" headerRowDxfId="242" dataDxfId="257" totalsRowDxfId="258">
  <autoFilter ref="B99:O101" xr:uid="{C87E8518-235B-4F79-B1EE-3DB82386A1FA}"/>
  <tableColumns count="14">
    <tableColumn id="1" xr3:uid="{A5D027E3-0D9C-4DED-A084-255DD91AB736}" name="Totals" totalsRowLabel="Difference" dataDxfId="286" totalsRowDxfId="285"/>
    <tableColumn id="2" xr3:uid="{8F6A124F-5CA1-4E31-AB95-FBEDFE1BD233}" name="Jan" totalsRowFunction="custom" dataDxfId="284" totalsRowDxfId="283">
      <totalsRowFormula>C100+C101</totalsRowFormula>
    </tableColumn>
    <tableColumn id="3" xr3:uid="{94912CF0-F27F-4E13-AE59-FEB75C0E6E60}" name="Feb" totalsRowFunction="custom" dataDxfId="282" totalsRowDxfId="281">
      <totalsRowFormula>D100+D101</totalsRowFormula>
    </tableColumn>
    <tableColumn id="4" xr3:uid="{EB4F8B35-14CC-4583-B356-8C74A5A71601}" name="Mar" totalsRowFunction="custom" dataDxfId="280" totalsRowDxfId="279">
      <totalsRowFormula>E100+E101</totalsRowFormula>
    </tableColumn>
    <tableColumn id="5" xr3:uid="{B44C47E3-83D7-47CF-B1A8-036E35D9B490}" name="Apr" totalsRowFunction="custom" dataDxfId="278" totalsRowDxfId="277">
      <totalsRowFormula>F100+F101</totalsRowFormula>
    </tableColumn>
    <tableColumn id="6" xr3:uid="{99BF75D2-9A21-4CE5-9200-AE35D606E040}" name="May" totalsRowFunction="custom" dataDxfId="276" totalsRowDxfId="275">
      <totalsRowFormula>G100+G101</totalsRowFormula>
    </tableColumn>
    <tableColumn id="7" xr3:uid="{90713A6A-7E76-4D01-942C-D6CB075019A4}" name="Jun" totalsRowFunction="custom" dataDxfId="274" totalsRowDxfId="273">
      <totalsRowFormula>H100+H101</totalsRowFormula>
    </tableColumn>
    <tableColumn id="8" xr3:uid="{C6602F37-6475-4998-ADEB-41F26703DF81}" name="Jul" totalsRowFunction="custom" dataDxfId="272" totalsRowDxfId="271">
      <totalsRowFormula>I100+I101</totalsRowFormula>
    </tableColumn>
    <tableColumn id="9" xr3:uid="{441E32B7-4AA0-4C81-9E0A-6E508BB1D4B8}" name="Aug" totalsRowFunction="custom" dataDxfId="270" totalsRowDxfId="269">
      <totalsRowFormula>J100+J101</totalsRowFormula>
    </tableColumn>
    <tableColumn id="10" xr3:uid="{6496FB53-786A-498D-BC39-A5B35227884B}" name="Sep" totalsRowFunction="custom" dataDxfId="268" totalsRowDxfId="267">
      <totalsRowFormula>K100+K101</totalsRowFormula>
    </tableColumn>
    <tableColumn id="11" xr3:uid="{A025D19B-5662-4461-8FCD-3C83C573BE12}" name="Oct" totalsRowFunction="custom" dataDxfId="266" totalsRowDxfId="265">
      <totalsRowFormula>L100+L101</totalsRowFormula>
    </tableColumn>
    <tableColumn id="12" xr3:uid="{DF78CDB7-56C1-4524-BA5A-F7EB49D50207}" name="Nov" totalsRowFunction="custom" dataDxfId="264" totalsRowDxfId="263">
      <totalsRowFormula>M100+M101</totalsRowFormula>
    </tableColumn>
    <tableColumn id="13" xr3:uid="{0ABCA1EE-9C7A-45A1-BCC4-F288DE99CAB5}" name="Dec" totalsRowFunction="custom" dataDxfId="262" totalsRowDxfId="261">
      <totalsRowFormula>N100+N101</totalsRowFormula>
    </tableColumn>
    <tableColumn id="14" xr3:uid="{2D9EBDD0-50FC-44FA-82E2-06FFE4C0C2F3}" name="Total" totalsRowFunction="custom" dataDxfId="260" totalsRowDxfId="259">
      <totalsRowFormula>O100+O101</totalsRowFormula>
    </tableColumn>
  </tableColumns>
  <tableStyleInfo name="Squawkfox - Income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39E96D5-668D-4A08-B9C8-133426F29222}" name="Categories" displayName="Categories" ref="B104:D113" totalsRowCount="1" headerRowDxfId="241" dataDxfId="252" totalsRowDxfId="253">
  <autoFilter ref="B104:D112" xr:uid="{D39E96D5-668D-4A08-B9C8-133426F29222}"/>
  <tableColumns count="3">
    <tableColumn id="1" xr3:uid="{16F7A02D-3274-4974-9496-AEE7AE53DE22}" name="Category" totalsRowLabel="Total" dataDxfId="256" totalsRowDxfId="2"/>
    <tableColumn id="2" xr3:uid="{1CF965F1-8C00-4EC4-8C5A-B962DC96A463}" name="Total" totalsRowFunction="sum" dataDxfId="255" totalsRowDxfId="1"/>
    <tableColumn id="3" xr3:uid="{B2BD82DC-6471-465D-AEC5-AD7801F30642}" name="% of Income" totalsRowFunction="sum" dataDxfId="254" totalsRowDxfId="0">
      <calculatedColumnFormula>Categories[[#This Row],[Total]]/Income[[#Totals],[Total]]</calculatedColumnFormula>
    </tableColumn>
  </tableColumns>
  <tableStyleInfo name="Squawkfox - Category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666EC69-2AAE-444A-A1EE-BA5A2973E015}" name="HomeExpenses" displayName="HomeExpenses" ref="B17:O23" totalsRowCount="1" headerRowDxfId="250" dataDxfId="301" totalsRowDxfId="302">
  <autoFilter ref="B17:O22" xr:uid="{4666EC69-2AAE-444A-A1EE-BA5A2973E015}"/>
  <tableColumns count="14">
    <tableColumn id="1" xr3:uid="{25AB959F-45D4-4016-8A43-E6DBF66012CE}" name="Home Expenses" totalsRowLabel="Total" dataDxfId="240" totalsRowDxfId="30"/>
    <tableColumn id="2" xr3:uid="{9335DCC7-0235-4BCF-A492-AF8A6AC99A68}" name="Jan" totalsRowFunction="sum" dataDxfId="239" totalsRowDxfId="29"/>
    <tableColumn id="3" xr3:uid="{391AA262-397C-4777-AD07-46EDC3616DAE}" name="Feb" totalsRowFunction="sum" dataDxfId="238" totalsRowDxfId="28"/>
    <tableColumn id="4" xr3:uid="{8B1F4E9C-9694-4E23-86F8-EA38F16B6A1F}" name="Mar" totalsRowFunction="sum" dataDxfId="237" totalsRowDxfId="27"/>
    <tableColumn id="5" xr3:uid="{ED929EA9-CB2A-4942-8277-A553496F02F3}" name="Apr" totalsRowFunction="sum" dataDxfId="236" totalsRowDxfId="26"/>
    <tableColumn id="6" xr3:uid="{5335AA62-D03B-4B22-91C2-2FCEF00CDC51}" name="May" totalsRowFunction="sum" dataDxfId="235" totalsRowDxfId="25"/>
    <tableColumn id="7" xr3:uid="{624D1F11-432B-4380-A090-C3258989E5B0}" name="Jun" totalsRowFunction="sum" dataDxfId="234" totalsRowDxfId="24"/>
    <tableColumn id="8" xr3:uid="{282315A3-04AA-4A28-BA52-A14DF57F4643}" name="Jul" totalsRowFunction="sum" dataDxfId="233" totalsRowDxfId="23"/>
    <tableColumn id="9" xr3:uid="{7B4E054D-6D2F-424A-A50A-CF3E51CFE25D}" name="Aug" totalsRowFunction="sum" dataDxfId="232" totalsRowDxfId="22"/>
    <tableColumn id="10" xr3:uid="{85D7002C-9973-4F5E-BE78-25F80DEBB5B2}" name="Sep" totalsRowFunction="sum" dataDxfId="231" totalsRowDxfId="21"/>
    <tableColumn id="11" xr3:uid="{C64CB1C1-098C-4C93-8E4A-891115874E97}" name="Oct" totalsRowFunction="sum" dataDxfId="230" totalsRowDxfId="20"/>
    <tableColumn id="12" xr3:uid="{46EBA5D2-6322-4049-B9BD-1DBF4CF5A4C8}" name="Nov" totalsRowFunction="sum" dataDxfId="229" totalsRowDxfId="19"/>
    <tableColumn id="13" xr3:uid="{FA883D1C-B6FE-4C5A-9F5D-5EE9C9C63419}" name="Dec" totalsRowFunction="sum" dataDxfId="228" totalsRowDxfId="18"/>
    <tableColumn id="14" xr3:uid="{0BC1CEAE-52BF-4453-B81E-7A38DE745ED4}" name="Total" totalsRowFunction="sum" dataDxfId="227" totalsRowDxfId="17">
      <calculatedColumnFormula>SUM(C18:N18)</calculatedColumnFormula>
    </tableColumn>
  </tableColumns>
  <tableStyleInfo name="Squawkfox Expenses" showFirstColumn="1" showLastColumn="1" showRowStripes="1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701E38-271A-4482-A559-9E1F7B6E0AD4}" name="Transportation" displayName="Transportation" ref="B25:O34" totalsRowCount="1" headerRowDxfId="249" dataDxfId="299" totalsRowDxfId="300">
  <autoFilter ref="B25:O33" xr:uid="{4F701E38-271A-4482-A559-9E1F7B6E0AD4}"/>
  <tableColumns count="14">
    <tableColumn id="1" xr3:uid="{CE85BF70-A620-4BF9-8B3A-BE0C0BC1AB76}" name="Transportation" totalsRowLabel="Total" dataDxfId="226" totalsRowDxfId="225"/>
    <tableColumn id="2" xr3:uid="{7BB74261-2011-494E-8303-59A2BE8744E7}" name="Jan" totalsRowFunction="sum" dataDxfId="224" totalsRowDxfId="223"/>
    <tableColumn id="3" xr3:uid="{C863499B-0A90-4356-A6A6-B651936BA912}" name="Feb" totalsRowFunction="sum" dataDxfId="222" totalsRowDxfId="221"/>
    <tableColumn id="4" xr3:uid="{53FA8665-37A2-455B-9E87-C056D28D66B2}" name="Mar" totalsRowFunction="sum" dataDxfId="220" totalsRowDxfId="219"/>
    <tableColumn id="5" xr3:uid="{56ADFD99-74C6-4314-8B31-6AD39EA3E888}" name="Apr" totalsRowFunction="sum" dataDxfId="218" totalsRowDxfId="217"/>
    <tableColumn id="6" xr3:uid="{913EFBA2-B98A-4D1E-B96B-9F517E6B9A32}" name="May" totalsRowFunction="sum" dataDxfId="216" totalsRowDxfId="215"/>
    <tableColumn id="7" xr3:uid="{FD76DE7A-7EEC-472A-A277-86ABA81997AF}" name="Jun" totalsRowFunction="sum" dataDxfId="214" totalsRowDxfId="213"/>
    <tableColumn id="8" xr3:uid="{407C9E1B-5438-46A9-99E0-58F1D72B9D42}" name="Jul" totalsRowFunction="sum" dataDxfId="212" totalsRowDxfId="211"/>
    <tableColumn id="9" xr3:uid="{36DD691A-F916-4BBC-9DF9-F73A47C56646}" name="Aug" totalsRowFunction="sum" dataDxfId="210" totalsRowDxfId="209"/>
    <tableColumn id="10" xr3:uid="{529CC188-9395-4C0A-8616-C16EC49F000D}" name="Sep" totalsRowFunction="sum" dataDxfId="208" totalsRowDxfId="207"/>
    <tableColumn id="11" xr3:uid="{6C28B1ED-B206-40B3-A376-98C93427359B}" name="Oct" totalsRowFunction="sum" dataDxfId="206" totalsRowDxfId="205"/>
    <tableColumn id="12" xr3:uid="{F6FA5CC0-4696-4A15-A1F5-B051A3B0A08B}" name="Nov" totalsRowFunction="sum" dataDxfId="204" totalsRowDxfId="203"/>
    <tableColumn id="13" xr3:uid="{CFA1E94B-B9DE-4631-A2E3-B847EBDF2642}" name="Dec" totalsRowFunction="sum" dataDxfId="202" totalsRowDxfId="201"/>
    <tableColumn id="14" xr3:uid="{5AE6648C-2C4E-4F60-97FF-2F54A7B89389}" name="Total" totalsRowFunction="sum" dataDxfId="200" totalsRowDxfId="199">
      <calculatedColumnFormula>SUM(C26:N26)</calculatedColumnFormula>
    </tableColumn>
  </tableColumns>
  <tableStyleInfo name="Squawkfox Expenses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08BE49D-9FB5-469B-8B45-B2A579386316}" name="Utilities" displayName="Utilities" ref="B36:O45" totalsRowCount="1" headerRowDxfId="248" dataDxfId="297" totalsRowDxfId="298">
  <autoFilter ref="B36:O44" xr:uid="{E08BE49D-9FB5-469B-8B45-B2A579386316}"/>
  <tableColumns count="14">
    <tableColumn id="1" xr3:uid="{C1EC838A-2CC5-45BF-9069-9EAEBF75E0DC}" name="Utilities" totalsRowLabel="Total" dataDxfId="198" totalsRowDxfId="197"/>
    <tableColumn id="2" xr3:uid="{32A85FA8-5F49-4D45-89E4-8AFBEDA07F14}" name="Jan" totalsRowFunction="sum" dataDxfId="196" totalsRowDxfId="195"/>
    <tableColumn id="3" xr3:uid="{4C9667E4-47F0-4DC2-88F7-B1F4BE78EA4B}" name="Feb" totalsRowFunction="sum" dataDxfId="194" totalsRowDxfId="193"/>
    <tableColumn id="4" xr3:uid="{0EE58BA8-A5C5-41EB-8F25-F1A46F7F0A4A}" name="Mar" totalsRowFunction="sum" dataDxfId="192" totalsRowDxfId="191"/>
    <tableColumn id="5" xr3:uid="{8B4F6973-86C3-4603-82A1-CF06F753CB62}" name="Apr" totalsRowFunction="sum" dataDxfId="190" totalsRowDxfId="189"/>
    <tableColumn id="6" xr3:uid="{8571D8BA-0368-41A6-831D-7EB8E8F400E6}" name="May" totalsRowFunction="sum" dataDxfId="188" totalsRowDxfId="187"/>
    <tableColumn id="7" xr3:uid="{B4F45A7D-F65A-40EB-BBE9-1DAFAD6A75EE}" name="Jun" totalsRowFunction="sum" dataDxfId="186" totalsRowDxfId="185"/>
    <tableColumn id="8" xr3:uid="{8E008F2F-4C61-4EEA-B59A-1F640C56E9D7}" name="Jul" totalsRowFunction="sum" dataDxfId="184" totalsRowDxfId="183"/>
    <tableColumn id="9" xr3:uid="{2E3B10B8-2E4E-43CF-A5C3-80AA2436D3B6}" name="Aug" totalsRowFunction="sum" dataDxfId="182" totalsRowDxfId="181"/>
    <tableColumn id="10" xr3:uid="{EE701B2E-8F89-48A7-B418-15F062711C5D}" name="Sep" totalsRowFunction="sum" dataDxfId="180" totalsRowDxfId="179"/>
    <tableColumn id="11" xr3:uid="{9C14992F-C2B5-4283-A55E-365BE944B56B}" name="Oct" totalsRowFunction="sum" dataDxfId="178" totalsRowDxfId="177"/>
    <tableColumn id="12" xr3:uid="{5001FA3B-FE7E-46ED-A117-98F2EE40F8A1}" name="Nov" totalsRowFunction="sum" dataDxfId="176" totalsRowDxfId="175"/>
    <tableColumn id="13" xr3:uid="{6FE4961B-84A7-45DF-82AD-118E5AEBEEFE}" name="Dec" totalsRowFunction="sum" dataDxfId="174" totalsRowDxfId="173"/>
    <tableColumn id="14" xr3:uid="{51F0BD59-EEFD-430B-9572-333307180A3C}" name="Total" totalsRowFunction="sum" dataDxfId="172" totalsRowDxfId="171">
      <calculatedColumnFormula>SUM(C37:N37)</calculatedColumnFormula>
    </tableColumn>
  </tableColumns>
  <tableStyleInfo name="Squawkfox Expenses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36C0EF7-3627-43BB-8A04-C77A8B146878}" name="Medical" displayName="Medical" ref="B47:O54" totalsRowCount="1" headerRowDxfId="247" dataDxfId="295" totalsRowDxfId="296">
  <autoFilter ref="B47:O53" xr:uid="{E36C0EF7-3627-43BB-8A04-C77A8B146878}"/>
  <tableColumns count="14">
    <tableColumn id="1" xr3:uid="{D508AF99-6DBB-4D9E-BC88-C9E9F42C7C10}" name="Medical" totalsRowLabel="Total" dataDxfId="170" totalsRowDxfId="169"/>
    <tableColumn id="2" xr3:uid="{DE58F63A-9D3F-4593-BF51-2FEC9442BE8A}" name="Jan" totalsRowFunction="sum" dataDxfId="168" totalsRowDxfId="167"/>
    <tableColumn id="3" xr3:uid="{F0D2E349-910E-4824-BBE8-09392B0202A8}" name="Feb" totalsRowFunction="sum" dataDxfId="166" totalsRowDxfId="165"/>
    <tableColumn id="4" xr3:uid="{C85E6604-FAE5-46D3-9564-8F82A6A5C776}" name="Mar" totalsRowFunction="sum" dataDxfId="164" totalsRowDxfId="163"/>
    <tableColumn id="5" xr3:uid="{497EB7DA-6254-4FCF-A369-3E805EEC0100}" name="Apr" totalsRowFunction="sum" dataDxfId="162" totalsRowDxfId="161"/>
    <tableColumn id="6" xr3:uid="{2FAE17CA-FF5A-45D2-97FF-BC21F379C8F3}" name="May" totalsRowFunction="sum" dataDxfId="160" totalsRowDxfId="159"/>
    <tableColumn id="7" xr3:uid="{4E30AEF5-0551-488A-A723-C5E59D133270}" name="Jun" totalsRowFunction="sum" dataDxfId="158" totalsRowDxfId="157"/>
    <tableColumn id="8" xr3:uid="{1F91218D-CF0C-44B1-ACFA-379460F388A7}" name="Jul" totalsRowFunction="sum" dataDxfId="156" totalsRowDxfId="155"/>
    <tableColumn id="9" xr3:uid="{961235F8-D880-4A63-8F69-9FF8082382DB}" name="Aug" totalsRowFunction="sum" dataDxfId="154" totalsRowDxfId="153"/>
    <tableColumn id="10" xr3:uid="{83C353C2-8419-49F5-9EE7-5ABCEE9F87F0}" name="Sep" totalsRowFunction="sum" dataDxfId="152" totalsRowDxfId="151"/>
    <tableColumn id="11" xr3:uid="{F9F6AC1F-BD97-4E38-A80C-5A414AFBDB6E}" name="Oct" totalsRowFunction="sum" dataDxfId="150" totalsRowDxfId="149"/>
    <tableColumn id="12" xr3:uid="{A7D74E50-46DA-4EC6-8AD9-3274B9973E77}" name="Nov" totalsRowFunction="sum" dataDxfId="148" totalsRowDxfId="147"/>
    <tableColumn id="13" xr3:uid="{6D9A1CFA-2F5C-4A38-A470-019416C39A68}" name="Dec" totalsRowFunction="sum" dataDxfId="146" totalsRowDxfId="145"/>
    <tableColumn id="14" xr3:uid="{3E12B345-EE43-4F1C-94C6-53A0E3A47055}" name="Total" totalsRowFunction="sum" dataDxfId="144" totalsRowDxfId="143">
      <calculatedColumnFormula>SUM(C48:N48)</calculatedColumnFormula>
    </tableColumn>
  </tableColumns>
  <tableStyleInfo name="Squawkfox Expenses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C330932-7A75-4E6C-A6B7-49B69FCF14FE}" name="Financial" displayName="Financial" ref="B56:O65" totalsRowCount="1" headerRowDxfId="246" dataDxfId="293" totalsRowDxfId="294">
  <autoFilter ref="B56:O64" xr:uid="{CC330932-7A75-4E6C-A6B7-49B69FCF14FE}"/>
  <tableColumns count="14">
    <tableColumn id="1" xr3:uid="{192BAF43-40BC-4F65-9BEB-B1D48A8CD17E}" name="Financial" totalsRowLabel="Total" dataDxfId="142" totalsRowDxfId="141"/>
    <tableColumn id="2" xr3:uid="{419AF80D-A966-4FA5-91B2-C1D89DBB0940}" name="Jan" totalsRowFunction="sum" dataDxfId="140" totalsRowDxfId="139"/>
    <tableColumn id="3" xr3:uid="{FF142923-6755-421B-A281-9F1C4B4ACF74}" name="Feb" totalsRowFunction="sum" dataDxfId="138" totalsRowDxfId="137"/>
    <tableColumn id="4" xr3:uid="{6131AFF2-7588-4B51-91C4-5D3BBCD28E2D}" name="Mar" totalsRowFunction="sum" dataDxfId="136" totalsRowDxfId="135"/>
    <tableColumn id="5" xr3:uid="{7804ECD7-DA92-408A-82A4-D2E5C182E459}" name="Apr" totalsRowFunction="sum" dataDxfId="134" totalsRowDxfId="133"/>
    <tableColumn id="6" xr3:uid="{F838F288-B031-47C2-B752-4C1CAEE04DC3}" name="May" totalsRowFunction="sum" dataDxfId="132" totalsRowDxfId="131"/>
    <tableColumn id="7" xr3:uid="{E538797E-1821-41FC-8191-47363A74565C}" name="Jun" totalsRowFunction="sum" dataDxfId="130" totalsRowDxfId="129"/>
    <tableColumn id="8" xr3:uid="{827E00A5-A5D8-4D4B-B917-71F093E44835}" name="Jul" totalsRowFunction="sum" dataDxfId="128" totalsRowDxfId="127"/>
    <tableColumn id="9" xr3:uid="{EBB015AC-0B67-4490-AB4C-3D63A661A170}" name="Aug" totalsRowFunction="sum" dataDxfId="126" totalsRowDxfId="125"/>
    <tableColumn id="10" xr3:uid="{F896167F-3ECE-4FDE-A5A8-2486D5D2997C}" name="Sep" totalsRowFunction="sum" dataDxfId="124" totalsRowDxfId="123"/>
    <tableColumn id="11" xr3:uid="{D26408D4-E8C4-4B2A-9FA6-E37DC2183420}" name="Oct" totalsRowFunction="sum" dataDxfId="122" totalsRowDxfId="121"/>
    <tableColumn id="12" xr3:uid="{A2D44EFC-0BCC-46C8-A3FB-56A402420AD5}" name="Nov" totalsRowFunction="sum" dataDxfId="120" totalsRowDxfId="119"/>
    <tableColumn id="13" xr3:uid="{05B19039-F0D9-47E4-BE74-1AE43504BE21}" name="Dec" totalsRowFunction="sum" dataDxfId="118" totalsRowDxfId="117"/>
    <tableColumn id="14" xr3:uid="{233EE0CF-C4AE-40BE-B259-7582BFBCBFCA}" name="Total" totalsRowFunction="sum" dataDxfId="116" totalsRowDxfId="115">
      <calculatedColumnFormula>SUM(C57:N57)</calculatedColumnFormula>
    </tableColumn>
  </tableColumns>
  <tableStyleInfo name="Squawkfox Expenses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12CE551-A696-4BF7-A56A-AD70D4F573EE}" name="Enjoyment" displayName="Enjoyment" ref="B67:O76" totalsRowCount="1" headerRowDxfId="245" dataDxfId="291" totalsRowDxfId="292">
  <autoFilter ref="B67:O75" xr:uid="{C12CE551-A696-4BF7-A56A-AD70D4F573EE}"/>
  <tableColumns count="14">
    <tableColumn id="1" xr3:uid="{A148386F-C44E-4675-B902-43E4472659E4}" name="Enjoyment" totalsRowLabel="Total" dataDxfId="114" totalsRowDxfId="113"/>
    <tableColumn id="2" xr3:uid="{073A7A0C-1751-4699-A06D-0B3A0CB40FAC}" name="Jan" totalsRowFunction="sum" dataDxfId="112" totalsRowDxfId="111"/>
    <tableColumn id="3" xr3:uid="{EED42D4A-65E1-4519-B48E-D7A873AECB7F}" name="Feb" totalsRowFunction="sum" dataDxfId="110" totalsRowDxfId="109"/>
    <tableColumn id="4" xr3:uid="{2BBD13C9-64D1-44C2-8B08-2D1091F809FC}" name="Mar" totalsRowFunction="sum" dataDxfId="108" totalsRowDxfId="107"/>
    <tableColumn id="5" xr3:uid="{5DA01736-B5AD-48D4-B9E0-38D501098C6D}" name="Apr" totalsRowFunction="sum" dataDxfId="106" totalsRowDxfId="105"/>
    <tableColumn id="6" xr3:uid="{B549B73E-63B2-49F4-B44B-EE5006227E43}" name="May" totalsRowFunction="sum" dataDxfId="104" totalsRowDxfId="103"/>
    <tableColumn id="7" xr3:uid="{DAA65E05-9BA2-4CBB-B4BB-2E51E9FF988E}" name="Jun" totalsRowFunction="sum" dataDxfId="102" totalsRowDxfId="101"/>
    <tableColumn id="8" xr3:uid="{B0E289C9-9892-4AE3-A7BC-3A326AA9449E}" name="Jul" totalsRowFunction="sum" dataDxfId="100" totalsRowDxfId="99"/>
    <tableColumn id="9" xr3:uid="{96AD2AED-4C49-4D11-A34C-FAA167024461}" name="Aug" totalsRowFunction="sum" dataDxfId="98" totalsRowDxfId="97"/>
    <tableColumn id="10" xr3:uid="{3A42D207-7BA4-43D3-938D-4F8113AE4361}" name="Sep" totalsRowFunction="sum" dataDxfId="96" totalsRowDxfId="95"/>
    <tableColumn id="11" xr3:uid="{D8631CF0-719C-421C-9DDC-318CD6A4B359}" name="Oct" totalsRowFunction="sum" dataDxfId="94" totalsRowDxfId="93"/>
    <tableColumn id="12" xr3:uid="{4DDEC761-8FC8-4202-9319-2F02DDDFCBEE}" name="Nov" totalsRowFunction="sum" dataDxfId="92" totalsRowDxfId="91"/>
    <tableColumn id="13" xr3:uid="{96A7AD6A-244B-4DB5-9C8C-AD46415D4F05}" name="Dec" totalsRowFunction="sum" dataDxfId="90" totalsRowDxfId="89"/>
    <tableColumn id="14" xr3:uid="{019A032B-D3E4-46C7-A6DF-7FF56EAD5D03}" name="Total" totalsRowFunction="sum" dataDxfId="88" totalsRowDxfId="87">
      <calculatedColumnFormula>SUM(C68:N68)</calculatedColumnFormula>
    </tableColumn>
  </tableColumns>
  <tableStyleInfo name="Squawkfox Expenses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B8E6E81-F2DE-40AB-BD6F-BAA09F756AD0}" name="RoutineExpenses" displayName="RoutineExpenses" ref="B78:O83" totalsRowCount="1" headerRowDxfId="244" dataDxfId="289" totalsRowDxfId="290">
  <autoFilter ref="B78:O82" xr:uid="{EB8E6E81-F2DE-40AB-BD6F-BAA09F756AD0}"/>
  <tableColumns count="14">
    <tableColumn id="1" xr3:uid="{2F596C4B-86FB-4595-8661-23BCB94B0F9A}" name="Routine Expenses" totalsRowLabel="Total" dataDxfId="86" totalsRowDxfId="85"/>
    <tableColumn id="2" xr3:uid="{DFD2B545-2213-476D-BA34-39F1D808819F}" name="Jan" totalsRowFunction="sum" dataDxfId="84" totalsRowDxfId="83"/>
    <tableColumn id="3" xr3:uid="{D7DCFE90-1E18-4039-B130-B633252F992E}" name="Feb" totalsRowFunction="sum" dataDxfId="82" totalsRowDxfId="81"/>
    <tableColumn id="4" xr3:uid="{99975FC1-6BD3-40F4-A39C-ADBCD06BE0EB}" name="Mar" totalsRowFunction="sum" dataDxfId="80" totalsRowDxfId="79"/>
    <tableColumn id="5" xr3:uid="{C789A1C7-1217-43F9-8ED2-F414A58307DB}" name="Apr" totalsRowFunction="sum" dataDxfId="78" totalsRowDxfId="77"/>
    <tableColumn id="6" xr3:uid="{147144C5-47FF-4BF3-99CE-8C63FE7F10A7}" name="May" totalsRowFunction="sum" dataDxfId="76" totalsRowDxfId="75"/>
    <tableColumn id="7" xr3:uid="{FF9594DD-22A8-4803-81A8-1FADA420E7E3}" name="Jun" totalsRowFunction="sum" dataDxfId="74" totalsRowDxfId="73"/>
    <tableColumn id="8" xr3:uid="{47A52A4F-088A-4652-A16A-BF7BA0A9DE23}" name="Jul" totalsRowFunction="sum" dataDxfId="72" totalsRowDxfId="71"/>
    <tableColumn id="9" xr3:uid="{6776D1B3-1770-42E3-A738-4E95F12D3C51}" name="Aug" totalsRowFunction="sum" dataDxfId="70" totalsRowDxfId="69"/>
    <tableColumn id="10" xr3:uid="{22E51369-1095-45E5-BD21-AA2F3A2AE08C}" name="Sep" totalsRowFunction="sum" dataDxfId="68" totalsRowDxfId="67"/>
    <tableColumn id="11" xr3:uid="{61EFEBCE-143C-4961-B9ED-52B15E32361C}" name="Oct" totalsRowFunction="sum" dataDxfId="66" totalsRowDxfId="65"/>
    <tableColumn id="12" xr3:uid="{30B8100C-CC82-4A02-BCF7-FE3D98FEAE44}" name="Nov" totalsRowFunction="sum" dataDxfId="64" totalsRowDxfId="63"/>
    <tableColumn id="13" xr3:uid="{04C0B1E8-F734-4BC9-A57D-1E0F3862001C}" name="Dec" totalsRowFunction="sum" dataDxfId="62" totalsRowDxfId="61"/>
    <tableColumn id="14" xr3:uid="{EAD48C01-40DA-430E-AE97-FEF6B04EBB60}" name="Total" totalsRowFunction="sum" dataDxfId="60" totalsRowDxfId="59">
      <calculatedColumnFormula>SUM(C79:N79)</calculatedColumnFormula>
    </tableColumn>
  </tableColumns>
  <tableStyleInfo name="Squawkfox Expenses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0EE6B73-8A68-4F37-9C16-099FD386B4BE}" name="Family" displayName="Family" ref="B85:O93" totalsRowCount="1" headerRowDxfId="243" dataDxfId="287" totalsRowDxfId="288">
  <autoFilter ref="B85:O92" xr:uid="{50EE6B73-8A68-4F37-9C16-099FD386B4BE}"/>
  <tableColumns count="14">
    <tableColumn id="1" xr3:uid="{B2904D81-4BE4-4CA7-8796-AA512D01C857}" name="Family" totalsRowLabel="Total" dataDxfId="58" totalsRowDxfId="57"/>
    <tableColumn id="2" xr3:uid="{BA0D5BE4-C89E-4962-B6BA-B2B6D1CC67EC}" name="Jan" totalsRowFunction="sum" dataDxfId="56" totalsRowDxfId="55"/>
    <tableColumn id="3" xr3:uid="{C8316FFA-B603-4C74-8E66-22B74D89E31B}" name="Feb" totalsRowFunction="sum" dataDxfId="54" totalsRowDxfId="53"/>
    <tableColumn id="4" xr3:uid="{F46D9CD0-E967-4312-8FB1-A441A172E4FA}" name="Mar" totalsRowFunction="sum" dataDxfId="52" totalsRowDxfId="51"/>
    <tableColumn id="5" xr3:uid="{7E6EDD60-4539-49D0-A022-E298177AAAC3}" name="Apr" totalsRowFunction="sum" dataDxfId="50" totalsRowDxfId="49"/>
    <tableColumn id="6" xr3:uid="{B07174C6-47C3-406C-A738-412EFCD2D5D3}" name="May" totalsRowFunction="sum" dataDxfId="48" totalsRowDxfId="47"/>
    <tableColumn id="7" xr3:uid="{539D5669-1B92-4230-97A2-C97B5C2562DA}" name="Jun" totalsRowFunction="sum" dataDxfId="46" totalsRowDxfId="45"/>
    <tableColumn id="8" xr3:uid="{3D6BAF6F-1002-4097-A4CE-1B14327BA017}" name="Jul" totalsRowFunction="sum" dataDxfId="44" totalsRowDxfId="43"/>
    <tableColumn id="9" xr3:uid="{BE460E61-50E7-441A-AD17-CE0A3B5F019D}" name="Aug" totalsRowFunction="sum" dataDxfId="42" totalsRowDxfId="41"/>
    <tableColumn id="10" xr3:uid="{0E7094EB-8DEC-483B-94D0-B19EE46BC0BF}" name="Sep" totalsRowFunction="sum" dataDxfId="40" totalsRowDxfId="39"/>
    <tableColumn id="11" xr3:uid="{A7F15DE3-5B32-4B29-B2EF-D78A23C7620E}" name="Oct" totalsRowFunction="sum" dataDxfId="38" totalsRowDxfId="37"/>
    <tableColumn id="12" xr3:uid="{86C8400C-D407-4C06-A8E1-AA8A1E074292}" name="Nov" totalsRowFunction="sum" dataDxfId="36" totalsRowDxfId="35"/>
    <tableColumn id="13" xr3:uid="{9E9EC680-B370-422E-8CF1-A53767799F74}" name="Dec" totalsRowFunction="sum" dataDxfId="34" totalsRowDxfId="33"/>
    <tableColumn id="14" xr3:uid="{903C4DF4-431A-44D5-A824-AEAD6A0A3713}" name="Total" totalsRowFunction="sum" dataDxfId="32" totalsRowDxfId="31">
      <calculatedColumnFormula>SUM(C86:N86)</calculatedColumnFormula>
    </tableColumn>
  </tableColumns>
  <tableStyleInfo name="Squawkfox Expenses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398F-445F-402F-82BA-2ACC7178E718}">
  <dimension ref="B1:O113"/>
  <sheetViews>
    <sheetView tabSelected="1" topLeftCell="A87" workbookViewId="0">
      <selection activeCell="C106" sqref="C106"/>
    </sheetView>
  </sheetViews>
  <sheetFormatPr defaultColWidth="12.140625" defaultRowHeight="15" x14ac:dyDescent="0.25"/>
  <cols>
    <col min="1" max="1" width="4" style="1" customWidth="1"/>
    <col min="2" max="2" width="28" style="1" bestFit="1" customWidth="1"/>
    <col min="3" max="14" width="14.42578125" style="1" customWidth="1"/>
    <col min="15" max="15" width="19.42578125" style="1" customWidth="1"/>
    <col min="16" max="16384" width="12.140625" style="1"/>
  </cols>
  <sheetData>
    <row r="1" spans="2:15" ht="61.5" x14ac:dyDescent="0.9">
      <c r="B1" s="2" t="s">
        <v>79</v>
      </c>
      <c r="O1" s="15" t="s">
        <v>78</v>
      </c>
    </row>
    <row r="3" spans="2:15" ht="21" x14ac:dyDescent="0.35">
      <c r="B3" s="3" t="s">
        <v>0</v>
      </c>
    </row>
    <row r="4" spans="2:15" x14ac:dyDescent="0.25">
      <c r="B4" s="1" t="s">
        <v>80</v>
      </c>
    </row>
    <row r="6" spans="2:15" x14ac:dyDescent="0.25">
      <c r="B6" s="8" t="s">
        <v>0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13</v>
      </c>
    </row>
    <row r="7" spans="2:15" x14ac:dyDescent="0.25">
      <c r="B7" s="1" t="s">
        <v>14</v>
      </c>
      <c r="C7" s="1">
        <v>5000</v>
      </c>
      <c r="D7" s="1">
        <v>5000</v>
      </c>
      <c r="E7" s="1">
        <v>5000</v>
      </c>
      <c r="F7" s="1">
        <v>5000</v>
      </c>
      <c r="G7" s="1">
        <v>5000</v>
      </c>
      <c r="H7" s="1">
        <v>5000</v>
      </c>
      <c r="I7" s="1">
        <v>5000</v>
      </c>
      <c r="J7" s="1">
        <v>5000</v>
      </c>
      <c r="K7" s="1">
        <v>5000</v>
      </c>
      <c r="L7" s="1">
        <v>5000</v>
      </c>
      <c r="M7" s="1">
        <v>5000</v>
      </c>
      <c r="N7" s="1">
        <v>5000</v>
      </c>
      <c r="O7" s="1">
        <f>SUM(C7:N7)</f>
        <v>60000</v>
      </c>
    </row>
    <row r="8" spans="2:15" x14ac:dyDescent="0.25">
      <c r="B8" s="1" t="s">
        <v>15</v>
      </c>
      <c r="O8" s="1">
        <f>SUM(C8:N8)</f>
        <v>0</v>
      </c>
    </row>
    <row r="9" spans="2:15" x14ac:dyDescent="0.25">
      <c r="B9" s="1" t="s">
        <v>16</v>
      </c>
      <c r="O9" s="1">
        <f>SUM(C9:N9)</f>
        <v>0</v>
      </c>
    </row>
    <row r="10" spans="2:15" x14ac:dyDescent="0.25">
      <c r="B10" s="1" t="s">
        <v>17</v>
      </c>
      <c r="O10" s="1">
        <f>SUM(C10:N10)</f>
        <v>0</v>
      </c>
    </row>
    <row r="11" spans="2:15" x14ac:dyDescent="0.25">
      <c r="B11" s="4" t="s">
        <v>13</v>
      </c>
      <c r="C11" s="1">
        <f>SUBTOTAL(109,Income[Jan])</f>
        <v>5000</v>
      </c>
      <c r="D11" s="1">
        <f>SUBTOTAL(109,Income[Feb])</f>
        <v>5000</v>
      </c>
      <c r="E11" s="1">
        <f>SUBTOTAL(109,Income[Mar])</f>
        <v>5000</v>
      </c>
      <c r="F11" s="1">
        <f>SUBTOTAL(109,Income[Apr])</f>
        <v>5000</v>
      </c>
      <c r="G11" s="1">
        <f>SUBTOTAL(109,Income[May])</f>
        <v>5000</v>
      </c>
      <c r="H11" s="1">
        <f>SUBTOTAL(109,Income[Jun])</f>
        <v>5000</v>
      </c>
      <c r="I11" s="1">
        <f>SUBTOTAL(109,Income[Jul])</f>
        <v>5000</v>
      </c>
      <c r="J11" s="1">
        <f>SUBTOTAL(109,Income[Aug])</f>
        <v>5000</v>
      </c>
      <c r="K11" s="1">
        <f>SUBTOTAL(109,Income[Sep])</f>
        <v>5000</v>
      </c>
      <c r="L11" s="1">
        <f>SUBTOTAL(109,Income[Oct])</f>
        <v>5000</v>
      </c>
      <c r="M11" s="1">
        <f>SUBTOTAL(109,Income[Nov])</f>
        <v>5000</v>
      </c>
      <c r="N11" s="1">
        <f>SUBTOTAL(109,Income[Dec])</f>
        <v>5000</v>
      </c>
      <c r="O11" s="1">
        <f>SUBTOTAL(109,Income[Total])</f>
        <v>60000</v>
      </c>
    </row>
    <row r="12" spans="2:15" x14ac:dyDescent="0.25">
      <c r="B12" s="4"/>
    </row>
    <row r="13" spans="2:15" x14ac:dyDescent="0.25">
      <c r="B13" s="4"/>
    </row>
    <row r="14" spans="2:15" ht="21" x14ac:dyDescent="0.35">
      <c r="B14" s="3" t="s">
        <v>18</v>
      </c>
    </row>
    <row r="15" spans="2:15" x14ac:dyDescent="0.25">
      <c r="B15" s="1" t="s">
        <v>81</v>
      </c>
    </row>
    <row r="17" spans="2:15" x14ac:dyDescent="0.25">
      <c r="B17" s="10" t="s">
        <v>19</v>
      </c>
      <c r="C17" s="11" t="s">
        <v>1</v>
      </c>
      <c r="D17" s="11" t="s">
        <v>2</v>
      </c>
      <c r="E17" s="11" t="s">
        <v>3</v>
      </c>
      <c r="F17" s="11" t="s">
        <v>4</v>
      </c>
      <c r="G17" s="11" t="s">
        <v>5</v>
      </c>
      <c r="H17" s="11" t="s">
        <v>6</v>
      </c>
      <c r="I17" s="11" t="s">
        <v>7</v>
      </c>
      <c r="J17" s="11" t="s">
        <v>8</v>
      </c>
      <c r="K17" s="11" t="s">
        <v>9</v>
      </c>
      <c r="L17" s="11" t="s">
        <v>10</v>
      </c>
      <c r="M17" s="11" t="s">
        <v>11</v>
      </c>
      <c r="N17" s="11" t="s">
        <v>12</v>
      </c>
      <c r="O17" s="11" t="s">
        <v>13</v>
      </c>
    </row>
    <row r="18" spans="2:15" x14ac:dyDescent="0.25">
      <c r="B18" s="1" t="s">
        <v>20</v>
      </c>
      <c r="C18" s="1">
        <v>2500</v>
      </c>
      <c r="D18" s="1">
        <v>2500</v>
      </c>
      <c r="E18" s="1">
        <v>2500</v>
      </c>
      <c r="F18" s="1">
        <v>2500</v>
      </c>
      <c r="G18" s="1">
        <v>2500</v>
      </c>
      <c r="H18" s="1">
        <v>2500</v>
      </c>
      <c r="I18" s="1">
        <v>2500</v>
      </c>
      <c r="J18" s="1">
        <v>2500</v>
      </c>
      <c r="K18" s="1">
        <v>2500</v>
      </c>
      <c r="L18" s="1">
        <v>2500</v>
      </c>
      <c r="M18" s="1">
        <v>2500</v>
      </c>
      <c r="N18" s="1">
        <v>2500</v>
      </c>
      <c r="O18" s="1">
        <f>SUM(C18:N18)</f>
        <v>30000</v>
      </c>
    </row>
    <row r="19" spans="2:15" x14ac:dyDescent="0.25">
      <c r="B19" s="1" t="s">
        <v>21</v>
      </c>
      <c r="O19" s="1">
        <f>SUM(C19:N19)</f>
        <v>0</v>
      </c>
    </row>
    <row r="20" spans="2:15" x14ac:dyDescent="0.25">
      <c r="B20" s="1" t="s">
        <v>22</v>
      </c>
      <c r="O20" s="1">
        <f>SUM(C20:N20)</f>
        <v>0</v>
      </c>
    </row>
    <row r="21" spans="2:15" x14ac:dyDescent="0.25">
      <c r="B21" s="1" t="s">
        <v>23</v>
      </c>
      <c r="C21" s="1">
        <v>100</v>
      </c>
      <c r="D21" s="1">
        <v>100</v>
      </c>
      <c r="E21" s="1">
        <v>100</v>
      </c>
      <c r="F21" s="1">
        <v>100</v>
      </c>
      <c r="G21" s="1">
        <v>100</v>
      </c>
      <c r="H21" s="1">
        <v>100</v>
      </c>
      <c r="I21" s="1">
        <v>100</v>
      </c>
      <c r="J21" s="1">
        <v>100</v>
      </c>
      <c r="K21" s="1">
        <v>100</v>
      </c>
      <c r="L21" s="1">
        <v>100</v>
      </c>
      <c r="M21" s="1">
        <v>100</v>
      </c>
      <c r="N21" s="1">
        <v>100</v>
      </c>
      <c r="O21" s="1">
        <f>SUM(C21:N21)</f>
        <v>1200</v>
      </c>
    </row>
    <row r="22" spans="2:15" x14ac:dyDescent="0.25">
      <c r="B22" s="1" t="s">
        <v>17</v>
      </c>
      <c r="O22" s="1">
        <f>SUM(C22:N22)</f>
        <v>0</v>
      </c>
    </row>
    <row r="23" spans="2:15" x14ac:dyDescent="0.25">
      <c r="B23" s="4" t="s">
        <v>13</v>
      </c>
      <c r="C23" s="1">
        <f>SUBTOTAL(109,HomeExpenses[Jan])</f>
        <v>2600</v>
      </c>
      <c r="D23" s="1">
        <f>SUBTOTAL(109,HomeExpenses[Feb])</f>
        <v>2600</v>
      </c>
      <c r="E23" s="1">
        <f>SUBTOTAL(109,HomeExpenses[Mar])</f>
        <v>2600</v>
      </c>
      <c r="F23" s="1">
        <f>SUBTOTAL(109,HomeExpenses[Apr])</f>
        <v>2600</v>
      </c>
      <c r="G23" s="1">
        <f>SUBTOTAL(109,HomeExpenses[May])</f>
        <v>2600</v>
      </c>
      <c r="H23" s="1">
        <f>SUBTOTAL(109,HomeExpenses[Jun])</f>
        <v>2600</v>
      </c>
      <c r="I23" s="1">
        <f>SUBTOTAL(109,HomeExpenses[Jul])</f>
        <v>2600</v>
      </c>
      <c r="J23" s="1">
        <f>SUBTOTAL(109,HomeExpenses[Aug])</f>
        <v>2600</v>
      </c>
      <c r="K23" s="1">
        <f>SUBTOTAL(109,HomeExpenses[Sep])</f>
        <v>2600</v>
      </c>
      <c r="L23" s="1">
        <f>SUBTOTAL(109,HomeExpenses[Oct])</f>
        <v>2600</v>
      </c>
      <c r="M23" s="1">
        <f>SUBTOTAL(109,HomeExpenses[Nov])</f>
        <v>2600</v>
      </c>
      <c r="N23" s="1">
        <f>SUBTOTAL(109,HomeExpenses[Dec])</f>
        <v>2600</v>
      </c>
      <c r="O23" s="1">
        <f>SUBTOTAL(109,HomeExpenses[Total])</f>
        <v>31200</v>
      </c>
    </row>
    <row r="25" spans="2:15" x14ac:dyDescent="0.25">
      <c r="B25" s="10" t="s">
        <v>24</v>
      </c>
      <c r="C25" s="11" t="s">
        <v>1</v>
      </c>
      <c r="D25" s="11" t="s">
        <v>2</v>
      </c>
      <c r="E25" s="11" t="s">
        <v>3</v>
      </c>
      <c r="F25" s="11" t="s">
        <v>4</v>
      </c>
      <c r="G25" s="11" t="s">
        <v>5</v>
      </c>
      <c r="H25" s="11" t="s">
        <v>6</v>
      </c>
      <c r="I25" s="11" t="s">
        <v>7</v>
      </c>
      <c r="J25" s="11" t="s">
        <v>8</v>
      </c>
      <c r="K25" s="11" t="s">
        <v>9</v>
      </c>
      <c r="L25" s="11" t="s">
        <v>10</v>
      </c>
      <c r="M25" s="11" t="s">
        <v>11</v>
      </c>
      <c r="N25" s="11" t="s">
        <v>12</v>
      </c>
      <c r="O25" s="11" t="s">
        <v>13</v>
      </c>
    </row>
    <row r="26" spans="2:15" x14ac:dyDescent="0.25">
      <c r="B26" s="1" t="s">
        <v>25</v>
      </c>
      <c r="C26" s="1">
        <v>200</v>
      </c>
      <c r="D26" s="1">
        <v>200</v>
      </c>
      <c r="E26" s="1">
        <v>200</v>
      </c>
      <c r="F26" s="1">
        <v>200</v>
      </c>
      <c r="G26" s="1">
        <v>200</v>
      </c>
      <c r="H26" s="1">
        <v>200</v>
      </c>
      <c r="I26" s="1">
        <v>200</v>
      </c>
      <c r="J26" s="1">
        <v>200</v>
      </c>
      <c r="K26" s="1">
        <v>200</v>
      </c>
      <c r="L26" s="1">
        <v>200</v>
      </c>
      <c r="M26" s="1">
        <v>200</v>
      </c>
      <c r="N26" s="1">
        <v>200</v>
      </c>
      <c r="O26" s="1">
        <f t="shared" ref="O26:O33" si="0">SUM(C26:N26)</f>
        <v>2400</v>
      </c>
    </row>
    <row r="27" spans="2:15" x14ac:dyDescent="0.25">
      <c r="B27" s="1" t="s">
        <v>26</v>
      </c>
      <c r="O27" s="1">
        <f t="shared" si="0"/>
        <v>0</v>
      </c>
    </row>
    <row r="28" spans="2:15" x14ac:dyDescent="0.25">
      <c r="B28" s="1" t="s">
        <v>27</v>
      </c>
      <c r="O28" s="1">
        <f t="shared" si="0"/>
        <v>0</v>
      </c>
    </row>
    <row r="29" spans="2:15" x14ac:dyDescent="0.25">
      <c r="B29" s="1" t="s">
        <v>28</v>
      </c>
      <c r="O29" s="1">
        <f t="shared" si="0"/>
        <v>0</v>
      </c>
    </row>
    <row r="30" spans="2:15" x14ac:dyDescent="0.25">
      <c r="B30" s="1" t="s">
        <v>22</v>
      </c>
      <c r="O30" s="1">
        <f t="shared" si="0"/>
        <v>0</v>
      </c>
    </row>
    <row r="31" spans="2:15" x14ac:dyDescent="0.25">
      <c r="B31" s="1" t="s">
        <v>29</v>
      </c>
      <c r="O31" s="1">
        <f t="shared" si="0"/>
        <v>0</v>
      </c>
    </row>
    <row r="32" spans="2:15" x14ac:dyDescent="0.25">
      <c r="B32" s="1" t="s">
        <v>30</v>
      </c>
      <c r="O32" s="1">
        <f t="shared" si="0"/>
        <v>0</v>
      </c>
    </row>
    <row r="33" spans="2:15" x14ac:dyDescent="0.25">
      <c r="B33" s="1" t="s">
        <v>17</v>
      </c>
      <c r="O33" s="1">
        <f t="shared" si="0"/>
        <v>0</v>
      </c>
    </row>
    <row r="34" spans="2:15" x14ac:dyDescent="0.25">
      <c r="B34" s="4" t="s">
        <v>13</v>
      </c>
      <c r="C34" s="1">
        <f>SUBTOTAL(109,Transportation[Jan])</f>
        <v>200</v>
      </c>
      <c r="D34" s="1">
        <f>SUBTOTAL(109,Transportation[Feb])</f>
        <v>200</v>
      </c>
      <c r="E34" s="1">
        <f>SUBTOTAL(109,Transportation[Mar])</f>
        <v>200</v>
      </c>
      <c r="F34" s="1">
        <f>SUBTOTAL(109,Transportation[Apr])</f>
        <v>200</v>
      </c>
      <c r="G34" s="1">
        <f>SUBTOTAL(109,Transportation[May])</f>
        <v>200</v>
      </c>
      <c r="H34" s="1">
        <f>SUBTOTAL(109,Transportation[Jun])</f>
        <v>200</v>
      </c>
      <c r="I34" s="1">
        <f>SUBTOTAL(109,Transportation[Jul])</f>
        <v>200</v>
      </c>
      <c r="J34" s="1">
        <f>SUBTOTAL(109,Transportation[Aug])</f>
        <v>200</v>
      </c>
      <c r="K34" s="1">
        <f>SUBTOTAL(109,Transportation[Sep])</f>
        <v>200</v>
      </c>
      <c r="L34" s="1">
        <f>SUBTOTAL(109,Transportation[Oct])</f>
        <v>200</v>
      </c>
      <c r="M34" s="1">
        <f>SUBTOTAL(109,Transportation[Nov])</f>
        <v>200</v>
      </c>
      <c r="N34" s="1">
        <f>SUBTOTAL(109,Transportation[Dec])</f>
        <v>200</v>
      </c>
      <c r="O34" s="1">
        <f>SUBTOTAL(109,Transportation[Total])</f>
        <v>2400</v>
      </c>
    </row>
    <row r="36" spans="2:15" x14ac:dyDescent="0.25">
      <c r="B36" s="10" t="s">
        <v>31</v>
      </c>
      <c r="C36" s="11" t="s">
        <v>1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1" t="s">
        <v>7</v>
      </c>
      <c r="J36" s="11" t="s">
        <v>8</v>
      </c>
      <c r="K36" s="11" t="s">
        <v>9</v>
      </c>
      <c r="L36" s="11" t="s">
        <v>10</v>
      </c>
      <c r="M36" s="11" t="s">
        <v>11</v>
      </c>
      <c r="N36" s="11" t="s">
        <v>12</v>
      </c>
      <c r="O36" s="11" t="s">
        <v>13</v>
      </c>
    </row>
    <row r="37" spans="2:15" x14ac:dyDescent="0.25">
      <c r="B37" s="1" t="s">
        <v>32</v>
      </c>
      <c r="C37" s="1">
        <v>100</v>
      </c>
      <c r="D37" s="1">
        <v>100</v>
      </c>
      <c r="E37" s="1">
        <v>100</v>
      </c>
      <c r="F37" s="1">
        <v>100</v>
      </c>
      <c r="G37" s="1">
        <v>100</v>
      </c>
      <c r="H37" s="1">
        <v>100</v>
      </c>
      <c r="I37" s="1">
        <v>100</v>
      </c>
      <c r="J37" s="1">
        <v>100</v>
      </c>
      <c r="K37" s="1">
        <v>100</v>
      </c>
      <c r="L37" s="1">
        <v>100</v>
      </c>
      <c r="M37" s="1">
        <v>100</v>
      </c>
      <c r="N37" s="1">
        <v>100</v>
      </c>
      <c r="O37" s="1">
        <f t="shared" ref="O37:O44" si="1">SUM(C37:N37)</f>
        <v>1200</v>
      </c>
    </row>
    <row r="38" spans="2:15" x14ac:dyDescent="0.25">
      <c r="B38" s="1" t="s">
        <v>33</v>
      </c>
      <c r="O38" s="1">
        <f t="shared" si="1"/>
        <v>0</v>
      </c>
    </row>
    <row r="39" spans="2:15" x14ac:dyDescent="0.25">
      <c r="B39" s="1" t="s">
        <v>34</v>
      </c>
      <c r="O39" s="1">
        <f t="shared" si="1"/>
        <v>0</v>
      </c>
    </row>
    <row r="40" spans="2:15" x14ac:dyDescent="0.25">
      <c r="B40" s="1" t="s">
        <v>35</v>
      </c>
      <c r="O40" s="1">
        <f t="shared" si="1"/>
        <v>0</v>
      </c>
    </row>
    <row r="41" spans="2:15" x14ac:dyDescent="0.25">
      <c r="B41" s="1" t="s">
        <v>36</v>
      </c>
      <c r="O41" s="1">
        <f t="shared" si="1"/>
        <v>0</v>
      </c>
    </row>
    <row r="42" spans="2:15" x14ac:dyDescent="0.25">
      <c r="B42" s="1" t="s">
        <v>37</v>
      </c>
      <c r="O42" s="1">
        <f t="shared" si="1"/>
        <v>0</v>
      </c>
    </row>
    <row r="43" spans="2:15" x14ac:dyDescent="0.25">
      <c r="B43" s="1" t="s">
        <v>38</v>
      </c>
      <c r="O43" s="1">
        <f t="shared" si="1"/>
        <v>0</v>
      </c>
    </row>
    <row r="44" spans="2:15" x14ac:dyDescent="0.25">
      <c r="B44" s="1" t="s">
        <v>17</v>
      </c>
      <c r="O44" s="1">
        <f t="shared" si="1"/>
        <v>0</v>
      </c>
    </row>
    <row r="45" spans="2:15" x14ac:dyDescent="0.25">
      <c r="B45" s="4" t="s">
        <v>13</v>
      </c>
      <c r="C45" s="1">
        <f>SUBTOTAL(109,Utilities[Jan])</f>
        <v>100</v>
      </c>
      <c r="D45" s="1">
        <f>SUBTOTAL(109,Utilities[Feb])</f>
        <v>100</v>
      </c>
      <c r="E45" s="1">
        <f>SUBTOTAL(109,Utilities[Mar])</f>
        <v>100</v>
      </c>
      <c r="F45" s="1">
        <f>SUBTOTAL(109,Utilities[Apr])</f>
        <v>100</v>
      </c>
      <c r="G45" s="1">
        <f>SUBTOTAL(109,Utilities[May])</f>
        <v>100</v>
      </c>
      <c r="H45" s="1">
        <f>SUBTOTAL(109,Utilities[Jun])</f>
        <v>100</v>
      </c>
      <c r="I45" s="1">
        <f>SUBTOTAL(109,Utilities[Jul])</f>
        <v>100</v>
      </c>
      <c r="J45" s="1">
        <f>SUBTOTAL(109,Utilities[Aug])</f>
        <v>100</v>
      </c>
      <c r="K45" s="1">
        <f>SUBTOTAL(109,Utilities[Sep])</f>
        <v>100</v>
      </c>
      <c r="L45" s="1">
        <f>SUBTOTAL(109,Utilities[Oct])</f>
        <v>100</v>
      </c>
      <c r="M45" s="1">
        <f>SUBTOTAL(109,Utilities[Nov])</f>
        <v>100</v>
      </c>
      <c r="N45" s="1">
        <f>SUBTOTAL(109,Utilities[Dec])</f>
        <v>100</v>
      </c>
      <c r="O45" s="1">
        <f>SUBTOTAL(109,Utilities[Total])</f>
        <v>1200</v>
      </c>
    </row>
    <row r="47" spans="2:15" x14ac:dyDescent="0.25">
      <c r="B47" s="10" t="s">
        <v>39</v>
      </c>
      <c r="C47" s="11" t="s">
        <v>1</v>
      </c>
      <c r="D47" s="11" t="s">
        <v>2</v>
      </c>
      <c r="E47" s="11" t="s">
        <v>3</v>
      </c>
      <c r="F47" s="11" t="s">
        <v>4</v>
      </c>
      <c r="G47" s="11" t="s">
        <v>5</v>
      </c>
      <c r="H47" s="11" t="s">
        <v>6</v>
      </c>
      <c r="I47" s="11" t="s">
        <v>7</v>
      </c>
      <c r="J47" s="11" t="s">
        <v>8</v>
      </c>
      <c r="K47" s="11" t="s">
        <v>9</v>
      </c>
      <c r="L47" s="11" t="s">
        <v>10</v>
      </c>
      <c r="M47" s="11" t="s">
        <v>11</v>
      </c>
      <c r="N47" s="11" t="s">
        <v>12</v>
      </c>
      <c r="O47" s="11" t="s">
        <v>13</v>
      </c>
    </row>
    <row r="48" spans="2:15" x14ac:dyDescent="0.25">
      <c r="B48" s="1" t="s">
        <v>40</v>
      </c>
      <c r="C48" s="1">
        <v>50</v>
      </c>
      <c r="D48" s="1">
        <v>50</v>
      </c>
      <c r="E48" s="1">
        <v>50</v>
      </c>
      <c r="F48" s="1">
        <v>50</v>
      </c>
      <c r="G48" s="1">
        <v>50</v>
      </c>
      <c r="H48" s="1">
        <v>50</v>
      </c>
      <c r="I48" s="1">
        <v>50</v>
      </c>
      <c r="J48" s="1">
        <v>50</v>
      </c>
      <c r="K48" s="1">
        <v>50</v>
      </c>
      <c r="L48" s="1">
        <v>50</v>
      </c>
      <c r="M48" s="1">
        <v>50</v>
      </c>
      <c r="N48" s="1">
        <v>50</v>
      </c>
      <c r="O48" s="1">
        <f t="shared" ref="O48:O53" si="2">SUM(C48:N48)</f>
        <v>600</v>
      </c>
    </row>
    <row r="49" spans="2:15" x14ac:dyDescent="0.25">
      <c r="B49" s="1" t="s">
        <v>41</v>
      </c>
      <c r="O49" s="1">
        <f t="shared" si="2"/>
        <v>0</v>
      </c>
    </row>
    <row r="50" spans="2:15" x14ac:dyDescent="0.25">
      <c r="B50" s="1" t="s">
        <v>42</v>
      </c>
      <c r="O50" s="1">
        <f t="shared" si="2"/>
        <v>0</v>
      </c>
    </row>
    <row r="51" spans="2:15" x14ac:dyDescent="0.25">
      <c r="B51" s="1" t="s">
        <v>43</v>
      </c>
      <c r="O51" s="1">
        <f t="shared" si="2"/>
        <v>0</v>
      </c>
    </row>
    <row r="52" spans="2:15" x14ac:dyDescent="0.25">
      <c r="B52" s="1" t="s">
        <v>44</v>
      </c>
      <c r="O52" s="1">
        <f t="shared" si="2"/>
        <v>0</v>
      </c>
    </row>
    <row r="53" spans="2:15" x14ac:dyDescent="0.25">
      <c r="B53" s="1" t="s">
        <v>17</v>
      </c>
      <c r="O53" s="1">
        <f t="shared" si="2"/>
        <v>0</v>
      </c>
    </row>
    <row r="54" spans="2:15" x14ac:dyDescent="0.25">
      <c r="B54" s="4" t="s">
        <v>13</v>
      </c>
      <c r="C54" s="1">
        <f>SUBTOTAL(109,Medical[Jan])</f>
        <v>50</v>
      </c>
      <c r="D54" s="1">
        <f>SUBTOTAL(109,Medical[Feb])</f>
        <v>50</v>
      </c>
      <c r="E54" s="1">
        <f>SUBTOTAL(109,Medical[Mar])</f>
        <v>50</v>
      </c>
      <c r="F54" s="1">
        <f>SUBTOTAL(109,Medical[Apr])</f>
        <v>50</v>
      </c>
      <c r="G54" s="1">
        <f>SUBTOTAL(109,Medical[May])</f>
        <v>50</v>
      </c>
      <c r="H54" s="1">
        <f>SUBTOTAL(109,Medical[Jun])</f>
        <v>50</v>
      </c>
      <c r="I54" s="1">
        <f>SUBTOTAL(109,Medical[Jul])</f>
        <v>50</v>
      </c>
      <c r="J54" s="1">
        <f>SUBTOTAL(109,Medical[Aug])</f>
        <v>50</v>
      </c>
      <c r="K54" s="1">
        <f>SUBTOTAL(109,Medical[Sep])</f>
        <v>50</v>
      </c>
      <c r="L54" s="1">
        <f>SUBTOTAL(109,Medical[Oct])</f>
        <v>50</v>
      </c>
      <c r="M54" s="1">
        <f>SUBTOTAL(109,Medical[Nov])</f>
        <v>50</v>
      </c>
      <c r="N54" s="1">
        <f>SUBTOTAL(109,Medical[Dec])</f>
        <v>50</v>
      </c>
      <c r="O54" s="1">
        <f>SUBTOTAL(109,Medical[Total])</f>
        <v>600</v>
      </c>
    </row>
    <row r="56" spans="2:15" x14ac:dyDescent="0.25">
      <c r="B56" s="10" t="s">
        <v>45</v>
      </c>
      <c r="C56" s="11" t="s">
        <v>1</v>
      </c>
      <c r="D56" s="11" t="s">
        <v>2</v>
      </c>
      <c r="E56" s="11" t="s">
        <v>3</v>
      </c>
      <c r="F56" s="11" t="s">
        <v>4</v>
      </c>
      <c r="G56" s="11" t="s">
        <v>5</v>
      </c>
      <c r="H56" s="11" t="s">
        <v>6</v>
      </c>
      <c r="I56" s="11" t="s">
        <v>7</v>
      </c>
      <c r="J56" s="11" t="s">
        <v>8</v>
      </c>
      <c r="K56" s="11" t="s">
        <v>9</v>
      </c>
      <c r="L56" s="11" t="s">
        <v>10</v>
      </c>
      <c r="M56" s="11" t="s">
        <v>11</v>
      </c>
      <c r="N56" s="11" t="s">
        <v>12</v>
      </c>
      <c r="O56" s="11" t="s">
        <v>13</v>
      </c>
    </row>
    <row r="57" spans="2:15" x14ac:dyDescent="0.25">
      <c r="B57" s="1" t="s">
        <v>46</v>
      </c>
      <c r="O57" s="1">
        <f t="shared" ref="O57:O64" si="3">SUM(C57:N57)</f>
        <v>0</v>
      </c>
    </row>
    <row r="58" spans="2:15" x14ac:dyDescent="0.25">
      <c r="B58" s="1" t="s">
        <v>47</v>
      </c>
      <c r="O58" s="1">
        <f t="shared" si="3"/>
        <v>0</v>
      </c>
    </row>
    <row r="59" spans="2:15" x14ac:dyDescent="0.25">
      <c r="B59" s="1" t="s">
        <v>48</v>
      </c>
      <c r="C59" s="1">
        <v>100</v>
      </c>
      <c r="D59" s="1">
        <v>100</v>
      </c>
      <c r="E59" s="1">
        <v>100</v>
      </c>
      <c r="F59" s="1">
        <v>100</v>
      </c>
      <c r="G59" s="1">
        <v>100</v>
      </c>
      <c r="H59" s="1">
        <v>100</v>
      </c>
      <c r="I59" s="1">
        <v>100</v>
      </c>
      <c r="J59" s="1">
        <v>100</v>
      </c>
      <c r="K59" s="1">
        <v>100</v>
      </c>
      <c r="L59" s="1">
        <v>100</v>
      </c>
      <c r="M59" s="1">
        <v>100</v>
      </c>
      <c r="N59" s="1">
        <v>100</v>
      </c>
      <c r="O59" s="1">
        <f t="shared" si="3"/>
        <v>1200</v>
      </c>
    </row>
    <row r="60" spans="2:15" x14ac:dyDescent="0.25">
      <c r="B60" s="1" t="s">
        <v>49</v>
      </c>
      <c r="O60" s="1">
        <f t="shared" si="3"/>
        <v>0</v>
      </c>
    </row>
    <row r="61" spans="2:15" x14ac:dyDescent="0.25">
      <c r="B61" s="1" t="s">
        <v>50</v>
      </c>
      <c r="O61" s="1">
        <f t="shared" si="3"/>
        <v>0</v>
      </c>
    </row>
    <row r="62" spans="2:15" x14ac:dyDescent="0.25">
      <c r="B62" s="1" t="s">
        <v>51</v>
      </c>
      <c r="O62" s="1">
        <f t="shared" si="3"/>
        <v>0</v>
      </c>
    </row>
    <row r="63" spans="2:15" x14ac:dyDescent="0.25">
      <c r="B63" s="1" t="s">
        <v>52</v>
      </c>
      <c r="O63" s="1">
        <f t="shared" si="3"/>
        <v>0</v>
      </c>
    </row>
    <row r="64" spans="2:15" x14ac:dyDescent="0.25">
      <c r="B64" s="1" t="s">
        <v>17</v>
      </c>
      <c r="O64" s="1">
        <f t="shared" si="3"/>
        <v>0</v>
      </c>
    </row>
    <row r="65" spans="2:15" x14ac:dyDescent="0.25">
      <c r="B65" s="4" t="s">
        <v>13</v>
      </c>
      <c r="C65" s="1">
        <f>SUBTOTAL(109,Financial[Jan])</f>
        <v>100</v>
      </c>
      <c r="D65" s="1">
        <f>SUBTOTAL(109,Financial[Feb])</f>
        <v>100</v>
      </c>
      <c r="E65" s="1">
        <f>SUBTOTAL(109,Financial[Mar])</f>
        <v>100</v>
      </c>
      <c r="F65" s="1">
        <f>SUBTOTAL(109,Financial[Apr])</f>
        <v>100</v>
      </c>
      <c r="G65" s="1">
        <f>SUBTOTAL(109,Financial[May])</f>
        <v>100</v>
      </c>
      <c r="H65" s="1">
        <f>SUBTOTAL(109,Financial[Jun])</f>
        <v>100</v>
      </c>
      <c r="I65" s="1">
        <f>SUBTOTAL(109,Financial[Jul])</f>
        <v>100</v>
      </c>
      <c r="J65" s="1">
        <f>SUBTOTAL(109,Financial[Aug])</f>
        <v>100</v>
      </c>
      <c r="K65" s="1">
        <f>SUBTOTAL(109,Financial[Sep])</f>
        <v>100</v>
      </c>
      <c r="L65" s="1">
        <f>SUBTOTAL(109,Financial[Oct])</f>
        <v>100</v>
      </c>
      <c r="M65" s="1">
        <f>SUBTOTAL(109,Financial[Nov])</f>
        <v>100</v>
      </c>
      <c r="N65" s="1">
        <f>SUBTOTAL(109,Financial[Dec])</f>
        <v>100</v>
      </c>
      <c r="O65" s="1">
        <f>SUBTOTAL(109,Financial[Total])</f>
        <v>1200</v>
      </c>
    </row>
    <row r="67" spans="2:15" x14ac:dyDescent="0.25">
      <c r="B67" s="10" t="s">
        <v>53</v>
      </c>
      <c r="C67" s="11" t="s">
        <v>1</v>
      </c>
      <c r="D67" s="11" t="s">
        <v>2</v>
      </c>
      <c r="E67" s="11" t="s">
        <v>3</v>
      </c>
      <c r="F67" s="11" t="s">
        <v>4</v>
      </c>
      <c r="G67" s="11" t="s">
        <v>5</v>
      </c>
      <c r="H67" s="11" t="s">
        <v>6</v>
      </c>
      <c r="I67" s="11" t="s">
        <v>7</v>
      </c>
      <c r="J67" s="11" t="s">
        <v>8</v>
      </c>
      <c r="K67" s="11" t="s">
        <v>9</v>
      </c>
      <c r="L67" s="11" t="s">
        <v>10</v>
      </c>
      <c r="M67" s="11" t="s">
        <v>11</v>
      </c>
      <c r="N67" s="11" t="s">
        <v>12</v>
      </c>
      <c r="O67" s="11" t="s">
        <v>13</v>
      </c>
    </row>
    <row r="68" spans="2:15" x14ac:dyDescent="0.25">
      <c r="B68" s="1" t="s">
        <v>54</v>
      </c>
      <c r="O68" s="1">
        <f t="shared" ref="O68:O75" si="4">SUM(C68:N68)</f>
        <v>0</v>
      </c>
    </row>
    <row r="69" spans="2:15" x14ac:dyDescent="0.25">
      <c r="B69" s="1" t="s">
        <v>55</v>
      </c>
      <c r="C69" s="1">
        <v>100</v>
      </c>
      <c r="D69" s="1">
        <v>100</v>
      </c>
      <c r="E69" s="1">
        <v>100</v>
      </c>
      <c r="F69" s="1">
        <v>100</v>
      </c>
      <c r="G69" s="1">
        <v>100</v>
      </c>
      <c r="H69" s="1">
        <v>100</v>
      </c>
      <c r="I69" s="1">
        <v>100</v>
      </c>
      <c r="J69" s="1">
        <v>100</v>
      </c>
      <c r="K69" s="1">
        <v>100</v>
      </c>
      <c r="L69" s="1">
        <v>100</v>
      </c>
      <c r="M69" s="1">
        <v>100</v>
      </c>
      <c r="N69" s="1">
        <v>100</v>
      </c>
      <c r="O69" s="1">
        <f t="shared" si="4"/>
        <v>1200</v>
      </c>
    </row>
    <row r="70" spans="2:15" x14ac:dyDescent="0.25">
      <c r="B70" s="1" t="s">
        <v>56</v>
      </c>
      <c r="O70" s="1">
        <f t="shared" si="4"/>
        <v>0</v>
      </c>
    </row>
    <row r="71" spans="2:15" x14ac:dyDescent="0.25">
      <c r="B71" s="1" t="s">
        <v>57</v>
      </c>
      <c r="O71" s="1">
        <f t="shared" si="4"/>
        <v>0</v>
      </c>
    </row>
    <row r="72" spans="2:15" x14ac:dyDescent="0.25">
      <c r="B72" s="1" t="s">
        <v>58</v>
      </c>
      <c r="O72" s="1">
        <f t="shared" si="4"/>
        <v>0</v>
      </c>
    </row>
    <row r="73" spans="2:15" x14ac:dyDescent="0.25">
      <c r="B73" s="1" t="s">
        <v>59</v>
      </c>
      <c r="O73" s="1">
        <f t="shared" si="4"/>
        <v>0</v>
      </c>
    </row>
    <row r="74" spans="2:15" x14ac:dyDescent="0.25">
      <c r="B74" s="1" t="s">
        <v>60</v>
      </c>
      <c r="O74" s="1">
        <f t="shared" si="4"/>
        <v>0</v>
      </c>
    </row>
    <row r="75" spans="2:15" x14ac:dyDescent="0.25">
      <c r="B75" s="1" t="s">
        <v>17</v>
      </c>
      <c r="O75" s="1">
        <f t="shared" si="4"/>
        <v>0</v>
      </c>
    </row>
    <row r="76" spans="2:15" x14ac:dyDescent="0.25">
      <c r="B76" s="4" t="s">
        <v>13</v>
      </c>
      <c r="C76" s="1">
        <f>SUBTOTAL(109,Enjoyment[Jan])</f>
        <v>100</v>
      </c>
      <c r="D76" s="1">
        <f>SUBTOTAL(109,Enjoyment[Feb])</f>
        <v>100</v>
      </c>
      <c r="E76" s="1">
        <f>SUBTOTAL(109,Enjoyment[Mar])</f>
        <v>100</v>
      </c>
      <c r="F76" s="1">
        <f>SUBTOTAL(109,Enjoyment[Apr])</f>
        <v>100</v>
      </c>
      <c r="G76" s="1">
        <f>SUBTOTAL(109,Enjoyment[May])</f>
        <v>100</v>
      </c>
      <c r="H76" s="1">
        <f>SUBTOTAL(109,Enjoyment[Jun])</f>
        <v>100</v>
      </c>
      <c r="I76" s="1">
        <f>SUBTOTAL(109,Enjoyment[Jul])</f>
        <v>100</v>
      </c>
      <c r="J76" s="1">
        <f>SUBTOTAL(109,Enjoyment[Aug])</f>
        <v>100</v>
      </c>
      <c r="K76" s="1">
        <f>SUBTOTAL(109,Enjoyment[Sep])</f>
        <v>100</v>
      </c>
      <c r="L76" s="1">
        <f>SUBTOTAL(109,Enjoyment[Oct])</f>
        <v>100</v>
      </c>
      <c r="M76" s="1">
        <f>SUBTOTAL(109,Enjoyment[Nov])</f>
        <v>100</v>
      </c>
      <c r="N76" s="1">
        <f>SUBTOTAL(109,Enjoyment[Dec])</f>
        <v>100</v>
      </c>
      <c r="O76" s="1">
        <f>SUBTOTAL(109,Enjoyment[Total])</f>
        <v>1200</v>
      </c>
    </row>
    <row r="78" spans="2:15" x14ac:dyDescent="0.25">
      <c r="B78" s="10" t="s">
        <v>61</v>
      </c>
      <c r="C78" s="11" t="s">
        <v>1</v>
      </c>
      <c r="D78" s="11" t="s">
        <v>2</v>
      </c>
      <c r="E78" s="11" t="s">
        <v>3</v>
      </c>
      <c r="F78" s="11" t="s">
        <v>4</v>
      </c>
      <c r="G78" s="11" t="s">
        <v>5</v>
      </c>
      <c r="H78" s="11" t="s">
        <v>6</v>
      </c>
      <c r="I78" s="11" t="s">
        <v>7</v>
      </c>
      <c r="J78" s="11" t="s">
        <v>8</v>
      </c>
      <c r="K78" s="11" t="s">
        <v>9</v>
      </c>
      <c r="L78" s="11" t="s">
        <v>10</v>
      </c>
      <c r="M78" s="11" t="s">
        <v>11</v>
      </c>
      <c r="N78" s="11" t="s">
        <v>12</v>
      </c>
      <c r="O78" s="11" t="s">
        <v>13</v>
      </c>
    </row>
    <row r="79" spans="2:15" x14ac:dyDescent="0.25">
      <c r="B79" s="1" t="s">
        <v>62</v>
      </c>
      <c r="C79" s="1">
        <v>200</v>
      </c>
      <c r="D79" s="1">
        <v>200</v>
      </c>
      <c r="E79" s="1">
        <v>200</v>
      </c>
      <c r="F79" s="1">
        <v>200</v>
      </c>
      <c r="G79" s="1">
        <v>200</v>
      </c>
      <c r="H79" s="1">
        <v>200</v>
      </c>
      <c r="I79" s="1">
        <v>200</v>
      </c>
      <c r="J79" s="1">
        <v>200</v>
      </c>
      <c r="K79" s="1">
        <v>200</v>
      </c>
      <c r="L79" s="1">
        <v>200</v>
      </c>
      <c r="M79" s="1">
        <v>200</v>
      </c>
      <c r="N79" s="1">
        <v>200</v>
      </c>
      <c r="O79" s="1">
        <f>SUM(C79:N79)</f>
        <v>2400</v>
      </c>
    </row>
    <row r="80" spans="2:15" x14ac:dyDescent="0.25">
      <c r="B80" s="1" t="s">
        <v>63</v>
      </c>
      <c r="O80" s="1">
        <f>SUM(C80:N80)</f>
        <v>0</v>
      </c>
    </row>
    <row r="81" spans="2:15" x14ac:dyDescent="0.25">
      <c r="B81" s="1" t="s">
        <v>64</v>
      </c>
      <c r="O81" s="1">
        <f>SUM(C81:N81)</f>
        <v>0</v>
      </c>
    </row>
    <row r="82" spans="2:15" x14ac:dyDescent="0.25">
      <c r="B82" s="1" t="s">
        <v>17</v>
      </c>
      <c r="O82" s="1">
        <f>SUM(C82:N82)</f>
        <v>0</v>
      </c>
    </row>
    <row r="83" spans="2:15" x14ac:dyDescent="0.25">
      <c r="B83" s="4" t="s">
        <v>13</v>
      </c>
      <c r="C83" s="1">
        <f>SUBTOTAL(109,RoutineExpenses[Jan])</f>
        <v>200</v>
      </c>
      <c r="D83" s="1">
        <f>SUBTOTAL(109,RoutineExpenses[Feb])</f>
        <v>200</v>
      </c>
      <c r="E83" s="1">
        <f>SUBTOTAL(109,RoutineExpenses[Mar])</f>
        <v>200</v>
      </c>
      <c r="F83" s="1">
        <f>SUBTOTAL(109,RoutineExpenses[Apr])</f>
        <v>200</v>
      </c>
      <c r="G83" s="1">
        <f>SUBTOTAL(109,RoutineExpenses[May])</f>
        <v>200</v>
      </c>
      <c r="H83" s="1">
        <f>SUBTOTAL(109,RoutineExpenses[Jun])</f>
        <v>200</v>
      </c>
      <c r="I83" s="1">
        <f>SUBTOTAL(109,RoutineExpenses[Jul])</f>
        <v>200</v>
      </c>
      <c r="J83" s="1">
        <f>SUBTOTAL(109,RoutineExpenses[Aug])</f>
        <v>200</v>
      </c>
      <c r="K83" s="1">
        <f>SUBTOTAL(109,RoutineExpenses[Sep])</f>
        <v>200</v>
      </c>
      <c r="L83" s="1">
        <f>SUBTOTAL(109,RoutineExpenses[Oct])</f>
        <v>200</v>
      </c>
      <c r="M83" s="1">
        <f>SUBTOTAL(109,RoutineExpenses[Nov])</f>
        <v>200</v>
      </c>
      <c r="N83" s="1">
        <f>SUBTOTAL(109,RoutineExpenses[Dec])</f>
        <v>200</v>
      </c>
      <c r="O83" s="1">
        <f>SUBTOTAL(109,RoutineExpenses[Total])</f>
        <v>2400</v>
      </c>
    </row>
    <row r="85" spans="2:15" x14ac:dyDescent="0.25">
      <c r="B85" s="10" t="s">
        <v>65</v>
      </c>
      <c r="C85" s="11" t="s">
        <v>1</v>
      </c>
      <c r="D85" s="11" t="s">
        <v>2</v>
      </c>
      <c r="E85" s="11" t="s">
        <v>3</v>
      </c>
      <c r="F85" s="11" t="s">
        <v>4</v>
      </c>
      <c r="G85" s="11" t="s">
        <v>5</v>
      </c>
      <c r="H85" s="11" t="s">
        <v>6</v>
      </c>
      <c r="I85" s="11" t="s">
        <v>7</v>
      </c>
      <c r="J85" s="11" t="s">
        <v>8</v>
      </c>
      <c r="K85" s="11" t="s">
        <v>9</v>
      </c>
      <c r="L85" s="11" t="s">
        <v>10</v>
      </c>
      <c r="M85" s="11" t="s">
        <v>11</v>
      </c>
      <c r="N85" s="11" t="s">
        <v>12</v>
      </c>
      <c r="O85" s="11" t="s">
        <v>13</v>
      </c>
    </row>
    <row r="86" spans="2:15" x14ac:dyDescent="0.25">
      <c r="B86" s="1" t="s">
        <v>66</v>
      </c>
      <c r="C86" s="1">
        <v>50</v>
      </c>
      <c r="D86" s="1">
        <v>50</v>
      </c>
      <c r="E86" s="1">
        <v>50</v>
      </c>
      <c r="F86" s="1">
        <v>50</v>
      </c>
      <c r="G86" s="1">
        <v>50</v>
      </c>
      <c r="H86" s="1">
        <v>50</v>
      </c>
      <c r="I86" s="1">
        <v>50</v>
      </c>
      <c r="J86" s="1">
        <v>50</v>
      </c>
      <c r="K86" s="1">
        <v>50</v>
      </c>
      <c r="L86" s="1">
        <v>50</v>
      </c>
      <c r="M86" s="1">
        <v>50</v>
      </c>
      <c r="N86" s="1">
        <v>50</v>
      </c>
      <c r="O86" s="1">
        <f t="shared" ref="O86:O92" si="5">SUM(C86:N86)</f>
        <v>600</v>
      </c>
    </row>
    <row r="87" spans="2:15" x14ac:dyDescent="0.25">
      <c r="B87" s="1" t="s">
        <v>67</v>
      </c>
      <c r="O87" s="1">
        <f t="shared" si="5"/>
        <v>0</v>
      </c>
    </row>
    <row r="88" spans="2:15" x14ac:dyDescent="0.25">
      <c r="B88" s="1" t="s">
        <v>68</v>
      </c>
      <c r="O88" s="1">
        <f t="shared" si="5"/>
        <v>0</v>
      </c>
    </row>
    <row r="89" spans="2:15" x14ac:dyDescent="0.25">
      <c r="B89" s="1" t="s">
        <v>69</v>
      </c>
      <c r="O89" s="1">
        <f t="shared" si="5"/>
        <v>0</v>
      </c>
    </row>
    <row r="90" spans="2:15" s="5" customFormat="1" x14ac:dyDescent="0.25">
      <c r="B90" s="1" t="s">
        <v>70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>
        <f t="shared" si="5"/>
        <v>0</v>
      </c>
    </row>
    <row r="91" spans="2:15" x14ac:dyDescent="0.25">
      <c r="B91" s="1" t="s">
        <v>71</v>
      </c>
      <c r="O91" s="1">
        <f t="shared" si="5"/>
        <v>0</v>
      </c>
    </row>
    <row r="92" spans="2:15" x14ac:dyDescent="0.25">
      <c r="B92" s="1" t="s">
        <v>17</v>
      </c>
      <c r="O92" s="1">
        <f t="shared" si="5"/>
        <v>0</v>
      </c>
    </row>
    <row r="93" spans="2:15" x14ac:dyDescent="0.25">
      <c r="B93" s="4" t="s">
        <v>13</v>
      </c>
      <c r="C93" s="1">
        <f>SUBTOTAL(109,Family[Jan])</f>
        <v>50</v>
      </c>
      <c r="D93" s="1">
        <f>SUBTOTAL(109,Family[Feb])</f>
        <v>50</v>
      </c>
      <c r="E93" s="1">
        <f>SUBTOTAL(109,Family[Mar])</f>
        <v>50</v>
      </c>
      <c r="F93" s="1">
        <f>SUBTOTAL(109,Family[Apr])</f>
        <v>50</v>
      </c>
      <c r="G93" s="1">
        <f>SUBTOTAL(109,Family[May])</f>
        <v>50</v>
      </c>
      <c r="H93" s="1">
        <f>SUBTOTAL(109,Family[Jun])</f>
        <v>50</v>
      </c>
      <c r="I93" s="1">
        <f>SUBTOTAL(109,Family[Jul])</f>
        <v>50</v>
      </c>
      <c r="J93" s="1">
        <f>SUBTOTAL(109,Family[Aug])</f>
        <v>50</v>
      </c>
      <c r="K93" s="1">
        <f>SUBTOTAL(109,Family[Sep])</f>
        <v>50</v>
      </c>
      <c r="L93" s="1">
        <f>SUBTOTAL(109,Family[Oct])</f>
        <v>50</v>
      </c>
      <c r="M93" s="1">
        <f>SUBTOTAL(109,Family[Nov])</f>
        <v>50</v>
      </c>
      <c r="N93" s="1">
        <f>SUBTOTAL(109,Family[Dec])</f>
        <v>50</v>
      </c>
      <c r="O93" s="1">
        <f>SUBTOTAL(109,Family[Total])</f>
        <v>600</v>
      </c>
    </row>
    <row r="96" spans="2:15" ht="21" x14ac:dyDescent="0.35">
      <c r="B96" s="3" t="s">
        <v>72</v>
      </c>
    </row>
    <row r="97" spans="2:15" x14ac:dyDescent="0.25">
      <c r="B97" s="1" t="s">
        <v>73</v>
      </c>
    </row>
    <row r="99" spans="2:15" x14ac:dyDescent="0.25">
      <c r="B99" s="12" t="s">
        <v>74</v>
      </c>
      <c r="C99" s="12" t="s">
        <v>1</v>
      </c>
      <c r="D99" s="12" t="s">
        <v>2</v>
      </c>
      <c r="E99" s="12" t="s">
        <v>3</v>
      </c>
      <c r="F99" s="12" t="s">
        <v>4</v>
      </c>
      <c r="G99" s="12" t="s">
        <v>5</v>
      </c>
      <c r="H99" s="12" t="s">
        <v>6</v>
      </c>
      <c r="I99" s="12" t="s">
        <v>7</v>
      </c>
      <c r="J99" s="12" t="s">
        <v>8</v>
      </c>
      <c r="K99" s="12" t="s">
        <v>9</v>
      </c>
      <c r="L99" s="12" t="s">
        <v>10</v>
      </c>
      <c r="M99" s="12" t="s">
        <v>11</v>
      </c>
      <c r="N99" s="12" t="s">
        <v>12</v>
      </c>
      <c r="O99" s="12" t="s">
        <v>13</v>
      </c>
    </row>
    <row r="100" spans="2:15" x14ac:dyDescent="0.25">
      <c r="B100" s="1" t="s">
        <v>0</v>
      </c>
      <c r="C100" s="1">
        <f>SUBTOTAL(109,Income[Jan])</f>
        <v>5000</v>
      </c>
      <c r="D100" s="1">
        <f>SUBTOTAL(109,Income[Feb])</f>
        <v>5000</v>
      </c>
      <c r="E100" s="1">
        <f>SUBTOTAL(109,Income[Mar])</f>
        <v>5000</v>
      </c>
      <c r="F100" s="1">
        <f>SUBTOTAL(109,Income[Apr])</f>
        <v>5000</v>
      </c>
      <c r="G100" s="1">
        <f>SUBTOTAL(109,Income[May])</f>
        <v>5000</v>
      </c>
      <c r="H100" s="1">
        <f>SUBTOTAL(109,Income[Jun])</f>
        <v>5000</v>
      </c>
      <c r="I100" s="1">
        <f>SUBTOTAL(109,Income[Jul])</f>
        <v>5000</v>
      </c>
      <c r="J100" s="1">
        <f>SUBTOTAL(109,Income[Aug])</f>
        <v>5000</v>
      </c>
      <c r="K100" s="1">
        <f>SUBTOTAL(109,Income[Sep])</f>
        <v>5000</v>
      </c>
      <c r="L100" s="1">
        <f>SUBTOTAL(109,Income[Oct])</f>
        <v>5000</v>
      </c>
      <c r="M100" s="1">
        <f>SUBTOTAL(109,Income[Nov])</f>
        <v>5000</v>
      </c>
      <c r="N100" s="1">
        <f>SUBTOTAL(109,Income[Dec])</f>
        <v>5000</v>
      </c>
      <c r="O100" s="1">
        <f>SUBTOTAL(109,Income[Total])</f>
        <v>60000</v>
      </c>
    </row>
    <row r="101" spans="2:15" s="6" customFormat="1" x14ac:dyDescent="0.25">
      <c r="B101" s="6" t="s">
        <v>18</v>
      </c>
      <c r="C101" s="6">
        <f>-1*(HomeExpenses[[#Totals],[Jan]]+Transportation[[#Totals],[Jan]]+Utilities[[#Totals],[Jan]]+Medical[[#Totals],[Jan]]+Financial[[#Totals],[Jan]]+Enjoyment[[#Totals],[Jan]]+RoutineExpenses[[#Totals],[Jan]]+Family[[#Totals],[Jan]])</f>
        <v>-3400</v>
      </c>
      <c r="D101" s="6">
        <f>-1*(HomeExpenses[[#Totals],[Feb]]+Transportation[[#Totals],[Feb]]+Utilities[[#Totals],[Feb]]+Medical[[#Totals],[Feb]]+Financial[[#Totals],[Feb]]+Enjoyment[[#Totals],[Feb]]+RoutineExpenses[[#Totals],[Feb]]+Family[[#Totals],[Feb]])</f>
        <v>-3400</v>
      </c>
      <c r="E101" s="6">
        <f>-1*(HomeExpenses[[#Totals],[Mar]]+Transportation[[#Totals],[Mar]]+Utilities[[#Totals],[Mar]]+Medical[[#Totals],[Mar]]+Financial[[#Totals],[Mar]]+Enjoyment[[#Totals],[Mar]]+RoutineExpenses[[#Totals],[Mar]]+Family[[#Totals],[Mar]])</f>
        <v>-3400</v>
      </c>
      <c r="F101" s="6">
        <f>-1*(HomeExpenses[[#Totals],[Apr]]+Transportation[[#Totals],[Apr]]+Utilities[[#Totals],[Apr]]+Medical[[#Totals],[Apr]]+Financial[[#Totals],[Apr]]+Enjoyment[[#Totals],[Apr]]+RoutineExpenses[[#Totals],[Apr]]+Family[[#Totals],[Apr]])</f>
        <v>-3400</v>
      </c>
      <c r="G101" s="6">
        <f>-1*(HomeExpenses[[#Totals],[May]]+Transportation[[#Totals],[May]]+Utilities[[#Totals],[May]]+Medical[[#Totals],[May]]+Financial[[#Totals],[May]]+Enjoyment[[#Totals],[May]]+RoutineExpenses[[#Totals],[May]]+Family[[#Totals],[May]])</f>
        <v>-3400</v>
      </c>
      <c r="H101" s="6">
        <f>-1*(HomeExpenses[[#Totals],[Jun]]+Transportation[[#Totals],[Jun]]+Utilities[[#Totals],[Jun]]+Medical[[#Totals],[Jun]]+Financial[[#Totals],[Jun]]+Enjoyment[[#Totals],[Jun]]+RoutineExpenses[[#Totals],[Jun]]+Family[[#Totals],[Jun]])</f>
        <v>-3400</v>
      </c>
      <c r="I101" s="6">
        <f>-1*(HomeExpenses[[#Totals],[Jul]]+Transportation[[#Totals],[Jul]]+Utilities[[#Totals],[Jul]]+Medical[[#Totals],[Jul]]+Financial[[#Totals],[Jul]]+Enjoyment[[#Totals],[Jul]]+RoutineExpenses[[#Totals],[Jul]]+Family[[#Totals],[Jul]])</f>
        <v>-3400</v>
      </c>
      <c r="J101" s="6">
        <f>-1*(HomeExpenses[[#Totals],[Aug]]+Transportation[[#Totals],[Aug]]+Utilities[[#Totals],[Aug]]+Medical[[#Totals],[Aug]]+Financial[[#Totals],[Aug]]+Enjoyment[[#Totals],[Aug]]+RoutineExpenses[[#Totals],[Aug]]+Family[[#Totals],[Aug]])</f>
        <v>-3400</v>
      </c>
      <c r="K101" s="6">
        <f>-1*(HomeExpenses[[#Totals],[Sep]]+Transportation[[#Totals],[Sep]]+Utilities[[#Totals],[Sep]]+Medical[[#Totals],[Sep]]+Financial[[#Totals],[Sep]]+Enjoyment[[#Totals],[Sep]]+RoutineExpenses[[#Totals],[Sep]]+Family[[#Totals],[Sep]])</f>
        <v>-3400</v>
      </c>
      <c r="L101" s="6">
        <f>-1*(HomeExpenses[[#Totals],[Oct]]+Transportation[[#Totals],[Oct]]+Utilities[[#Totals],[Oct]]+Medical[[#Totals],[Oct]]+Financial[[#Totals],[Oct]]+Enjoyment[[#Totals],[Oct]]+RoutineExpenses[[#Totals],[Oct]]+Family[[#Totals],[Oct]])</f>
        <v>-3400</v>
      </c>
      <c r="M101" s="6">
        <f>-1*(HomeExpenses[[#Totals],[Nov]]+Transportation[[#Totals],[Nov]]+Utilities[[#Totals],[Nov]]+Medical[[#Totals],[Nov]]+Financial[[#Totals],[Nov]]+Enjoyment[[#Totals],[Nov]]+RoutineExpenses[[#Totals],[Nov]]+Family[[#Totals],[Nov]])</f>
        <v>-3400</v>
      </c>
      <c r="N101" s="6">
        <f>-1*(HomeExpenses[[#Totals],[Dec]]+Transportation[[#Totals],[Dec]]+Utilities[[#Totals],[Dec]]+Medical[[#Totals],[Dec]]+Financial[[#Totals],[Dec]]+Enjoyment[[#Totals],[Dec]]+RoutineExpenses[[#Totals],[Dec]]+Family[[#Totals],[Dec]])</f>
        <v>-3400</v>
      </c>
      <c r="O101" s="6">
        <f>SUM(Totals[[#This Row],[Jan]:[Dec]])</f>
        <v>-40800</v>
      </c>
    </row>
    <row r="102" spans="2:15" s="6" customFormat="1" x14ac:dyDescent="0.25">
      <c r="B102" s="6" t="s">
        <v>75</v>
      </c>
      <c r="C102" s="6">
        <f>C100+C101</f>
        <v>1600</v>
      </c>
      <c r="D102" s="6">
        <f>D100+D101</f>
        <v>1600</v>
      </c>
      <c r="E102" s="6">
        <f>E100+E101</f>
        <v>1600</v>
      </c>
      <c r="F102" s="6">
        <f t="shared" ref="F102:O102" si="6">F100+F101</f>
        <v>1600</v>
      </c>
      <c r="G102" s="6">
        <f t="shared" si="6"/>
        <v>1600</v>
      </c>
      <c r="H102" s="6">
        <f t="shared" si="6"/>
        <v>1600</v>
      </c>
      <c r="I102" s="6">
        <f t="shared" si="6"/>
        <v>1600</v>
      </c>
      <c r="J102" s="6">
        <f t="shared" si="6"/>
        <v>1600</v>
      </c>
      <c r="K102" s="6">
        <f t="shared" si="6"/>
        <v>1600</v>
      </c>
      <c r="L102" s="6">
        <f t="shared" si="6"/>
        <v>1600</v>
      </c>
      <c r="M102" s="6">
        <f t="shared" si="6"/>
        <v>1600</v>
      </c>
      <c r="N102" s="6">
        <f t="shared" si="6"/>
        <v>1600</v>
      </c>
      <c r="O102" s="6">
        <f t="shared" si="6"/>
        <v>19200</v>
      </c>
    </row>
    <row r="104" spans="2:15" x14ac:dyDescent="0.25">
      <c r="B104" s="13" t="s">
        <v>76</v>
      </c>
      <c r="C104" s="13" t="s">
        <v>13</v>
      </c>
      <c r="D104" s="14" t="s">
        <v>77</v>
      </c>
    </row>
    <row r="105" spans="2:15" x14ac:dyDescent="0.25">
      <c r="B105" s="1" t="str">
        <f>HomeExpenses[[#Headers],[Home Expenses]]</f>
        <v>Home Expenses</v>
      </c>
      <c r="C105" s="1">
        <f>HomeExpenses[[#Totals],[Total]]</f>
        <v>31200</v>
      </c>
      <c r="D105" s="7">
        <f>Categories[[#This Row],[Total]]/Income[[#Totals],[Total]]</f>
        <v>0.52</v>
      </c>
    </row>
    <row r="106" spans="2:15" x14ac:dyDescent="0.25">
      <c r="B106" s="1" t="str">
        <f>Transportation[[#Headers],[Transportation]]</f>
        <v>Transportation</v>
      </c>
      <c r="C106" s="1">
        <f>Transportation[[#Totals],[Total]]</f>
        <v>2400</v>
      </c>
      <c r="D106" s="7">
        <f>Categories[[#This Row],[Total]]/Income[[#Totals],[Total]]</f>
        <v>0.04</v>
      </c>
    </row>
    <row r="107" spans="2:15" x14ac:dyDescent="0.25">
      <c r="B107" s="1" t="str">
        <f>Utilities[[#Headers],[Utilities]]</f>
        <v>Utilities</v>
      </c>
      <c r="C107" s="1">
        <f>Utilities[[#Totals],[Total]]</f>
        <v>1200</v>
      </c>
      <c r="D107" s="7">
        <f>Categories[[#This Row],[Total]]/Income[[#Totals],[Total]]</f>
        <v>0.02</v>
      </c>
    </row>
    <row r="108" spans="2:15" x14ac:dyDescent="0.25">
      <c r="B108" s="1" t="str">
        <f>Medical[[#Headers],[Medical]]</f>
        <v>Medical</v>
      </c>
      <c r="C108" s="1">
        <f>Medical[[#Totals],[Total]]</f>
        <v>600</v>
      </c>
      <c r="D108" s="7">
        <f>Categories[[#This Row],[Total]]/Income[[#Totals],[Total]]</f>
        <v>0.01</v>
      </c>
    </row>
    <row r="109" spans="2:15" x14ac:dyDescent="0.25">
      <c r="B109" s="1" t="str">
        <f>Financial[[#Headers],[Financial]]</f>
        <v>Financial</v>
      </c>
      <c r="C109" s="1">
        <f>Financial[[#Totals],[Total]]</f>
        <v>1200</v>
      </c>
      <c r="D109" s="7">
        <f>Categories[[#This Row],[Total]]/Income[[#Totals],[Total]]</f>
        <v>0.02</v>
      </c>
    </row>
    <row r="110" spans="2:15" x14ac:dyDescent="0.25">
      <c r="B110" s="1" t="str">
        <f>Enjoyment[[#Headers],[Enjoyment]]</f>
        <v>Enjoyment</v>
      </c>
      <c r="C110" s="1">
        <f>Enjoyment[[#Totals],[Total]]</f>
        <v>1200</v>
      </c>
      <c r="D110" s="7">
        <f>Categories[[#This Row],[Total]]/Income[[#Totals],[Total]]</f>
        <v>0.02</v>
      </c>
    </row>
    <row r="111" spans="2:15" x14ac:dyDescent="0.25">
      <c r="B111" s="1" t="str">
        <f>RoutineExpenses[[#Headers],[Routine Expenses]]</f>
        <v>Routine Expenses</v>
      </c>
      <c r="C111" s="1">
        <f>RoutineExpenses[[#Totals],[Total]]</f>
        <v>2400</v>
      </c>
      <c r="D111" s="7">
        <f>Categories[[#This Row],[Total]]/Income[[#Totals],[Total]]</f>
        <v>0.04</v>
      </c>
    </row>
    <row r="112" spans="2:15" x14ac:dyDescent="0.25">
      <c r="B112" s="1" t="str">
        <f>Family[[#Headers],[Family]]</f>
        <v>Family</v>
      </c>
      <c r="C112" s="1">
        <f>Family[[#Totals],[Total]]</f>
        <v>600</v>
      </c>
      <c r="D112" s="7">
        <f>Categories[[#This Row],[Total]]/Income[[#Totals],[Total]]</f>
        <v>0.01</v>
      </c>
    </row>
    <row r="113" spans="2:4" x14ac:dyDescent="0.25">
      <c r="B113" s="4" t="s">
        <v>13</v>
      </c>
      <c r="C113" s="1">
        <f>SUBTOTAL(109,Categories[Total])</f>
        <v>40800</v>
      </c>
      <c r="D113" s="7">
        <f>SUBTOTAL(109,Categories[% of Income])</f>
        <v>0.68000000000000016</v>
      </c>
    </row>
  </sheetData>
  <conditionalFormatting sqref="D113">
    <cfRule type="cellIs" dxfId="321" priority="3" operator="greaterThan">
      <formula>1</formula>
    </cfRule>
  </conditionalFormatting>
  <conditionalFormatting sqref="C102:O102">
    <cfRule type="cellIs" dxfId="320" priority="2" operator="lessThan">
      <formula>0</formula>
    </cfRule>
  </conditionalFormatting>
  <conditionalFormatting sqref="D105">
    <cfRule type="cellIs" dxfId="319" priority="1" operator="greaterThan">
      <formula>0.35</formula>
    </cfRule>
  </conditionalFormatting>
  <pageMargins left="0.7" right="0.7" top="0.75" bottom="0.75" header="0.3" footer="0.3"/>
  <pageSetup orientation="portrait" verticalDpi="0" r:id="rId1"/>
  <drawing r:id="rId2"/>
  <tableParts count="11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Masias</dc:creator>
  <cp:lastModifiedBy>James Masias</cp:lastModifiedBy>
  <dcterms:created xsi:type="dcterms:W3CDTF">2022-08-09T15:54:15Z</dcterms:created>
  <dcterms:modified xsi:type="dcterms:W3CDTF">2022-08-09T17:58:30Z</dcterms:modified>
</cp:coreProperties>
</file>